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common\Environmental\Water- STORM\Design Manual and Ordinances\PVSDM 2015\Final_Published\Published\"/>
    </mc:Choice>
  </mc:AlternateContent>
  <bookViews>
    <workbookView xWindow="11865" yWindow="105" windowWidth="14295" windowHeight="12255"/>
  </bookViews>
  <sheets>
    <sheet name="Bowstring Worksheet" sheetId="5" r:id="rId1"/>
    <sheet name="Sheet1" sheetId="6" r:id="rId2"/>
  </sheets>
  <definedNames>
    <definedName name="HTML_CodePage" hidden="1">1252</definedName>
    <definedName name="HTML_Control" hidden="1">{"'Sheet1'!$A$1:$I$36"}</definedName>
    <definedName name="HTML_Description" hidden="1">""</definedName>
    <definedName name="HTML_Email" hidden="1">""</definedName>
    <definedName name="HTML_Header" hidden="1">"Moscow, ID"</definedName>
    <definedName name="HTML_LastUpdate" hidden="1">"1/28/99"</definedName>
    <definedName name="HTML_LineAfter" hidden="1">FALSE</definedName>
    <definedName name="HTML_LineBefore" hidden="1">FALSE</definedName>
    <definedName name="HTML_Name" hidden="1">"Bio &amp; Ag"</definedName>
    <definedName name="HTML_OBDlg2" hidden="1">TRUE</definedName>
    <definedName name="HTML_OBDlg4" hidden="1">TRUE</definedName>
    <definedName name="HTML_OS" hidden="1">0</definedName>
    <definedName name="HTML_PathFile" hidden="1">"C:\Seth\Noaa2.htm"</definedName>
    <definedName name="HTML_Title" hidden="1">"NOAA 2 Moscow, ID"</definedName>
    <definedName name="_xlnm.Print_Area" localSheetId="0">'Bowstring Worksheet'!$B$1:$K$143</definedName>
    <definedName name="Z_C0B7901E_A859_49D3_8DFA_3339956088E5_.wvu.PrintArea" localSheetId="0" hidden="1">'Bowstring Worksheet'!$B$1:$K$143</definedName>
  </definedNames>
  <calcPr calcId="152511"/>
  <customWorkbookViews>
    <customWorkbookView name="test" guid="{C0B7901E-A859-49D3-8DFA-3339956088E5}" maximized="1" xWindow="-8" yWindow="-8" windowWidth="1616" windowHeight="876" activeSheetId="5"/>
  </customWorkbookViews>
  <fileRecoveryPr repairLoad="1"/>
</workbook>
</file>

<file path=xl/calcChain.xml><?xml version="1.0" encoding="utf-8"?>
<calcChain xmlns="http://schemas.openxmlformats.org/spreadsheetml/2006/main">
  <c r="H38" i="5" l="1"/>
  <c r="G23" i="5" l="1"/>
  <c r="B10" i="5" l="1"/>
  <c r="D53" i="5" l="1"/>
  <c r="D29" i="5" l="1"/>
  <c r="D22" i="5" l="1"/>
  <c r="D16" i="5" l="1"/>
  <c r="D17" i="5" s="1"/>
  <c r="D18" i="5" s="1"/>
  <c r="D13" i="5" l="1"/>
  <c r="D14" i="5" s="1"/>
  <c r="D15" i="5" s="1"/>
  <c r="D11" i="5" l="1"/>
  <c r="D78" i="5" l="1"/>
  <c r="G44" i="5" l="1"/>
  <c r="G43" i="5"/>
  <c r="G42" i="5"/>
  <c r="H36" i="5"/>
  <c r="H35" i="5"/>
  <c r="H34" i="5"/>
  <c r="H33" i="5"/>
  <c r="H37" i="5" s="1"/>
  <c r="G29" i="5"/>
  <c r="C29" i="5"/>
  <c r="G28" i="5"/>
  <c r="C28" i="5"/>
  <c r="G27" i="5"/>
  <c r="C27" i="5"/>
  <c r="G26" i="5"/>
  <c r="C26" i="5"/>
  <c r="G25" i="5"/>
  <c r="C25" i="5"/>
  <c r="G24" i="5"/>
  <c r="C24" i="5"/>
  <c r="C23" i="5"/>
  <c r="G22" i="5"/>
  <c r="C22" i="5"/>
  <c r="G21" i="5"/>
  <c r="C21" i="5"/>
  <c r="G20" i="5"/>
  <c r="C20" i="5"/>
  <c r="G19" i="5"/>
  <c r="C19" i="5"/>
  <c r="G18" i="5"/>
  <c r="C18" i="5"/>
  <c r="G17" i="5"/>
  <c r="C17" i="5"/>
  <c r="G16" i="5"/>
  <c r="C16" i="5"/>
  <c r="G15" i="5"/>
  <c r="C15" i="5"/>
  <c r="G14" i="5"/>
  <c r="C14" i="5"/>
  <c r="G13" i="5"/>
  <c r="C13" i="5"/>
  <c r="G12" i="5"/>
  <c r="D12" i="5"/>
  <c r="C12" i="5"/>
  <c r="G11" i="5"/>
  <c r="C11" i="5"/>
  <c r="G45" i="5" l="1"/>
  <c r="D10" i="5"/>
  <c r="E10" i="5" s="1"/>
  <c r="D23" i="5"/>
  <c r="D24" i="5" s="1"/>
  <c r="E24" i="5" s="1"/>
  <c r="C10" i="5"/>
  <c r="G10" i="5"/>
  <c r="D25" i="5" l="1"/>
  <c r="D26" i="5" s="1"/>
  <c r="D27" i="5" s="1"/>
  <c r="D28" i="5" s="1"/>
  <c r="F10" i="5"/>
  <c r="H10" i="5" s="1"/>
  <c r="F24" i="5"/>
  <c r="H24" i="5" s="1"/>
  <c r="E14" i="5"/>
  <c r="F14" i="5" s="1"/>
  <c r="H14" i="5" s="1"/>
  <c r="E28" i="5" l="1"/>
  <c r="F28" i="5" s="1"/>
  <c r="H28" i="5" s="1"/>
  <c r="E25" i="5"/>
  <c r="F25" i="5" s="1"/>
  <c r="H25" i="5" s="1"/>
  <c r="E22" i="5"/>
  <c r="F22" i="5" s="1"/>
  <c r="H22" i="5" s="1"/>
  <c r="E12" i="5"/>
  <c r="F12" i="5" s="1"/>
  <c r="H12" i="5" s="1"/>
  <c r="E29" i="5"/>
  <c r="F29" i="5" s="1"/>
  <c r="H29" i="5" s="1"/>
  <c r="E11" i="5"/>
  <c r="F11" i="5" s="1"/>
  <c r="H11" i="5" s="1"/>
  <c r="E16" i="5"/>
  <c r="F16" i="5" s="1"/>
  <c r="H16" i="5" s="1"/>
  <c r="E23" i="5"/>
  <c r="F23" i="5" s="1"/>
  <c r="H23" i="5" s="1"/>
  <c r="E13" i="5"/>
  <c r="F13" i="5" s="1"/>
  <c r="H13" i="5" s="1"/>
  <c r="E27" i="5"/>
  <c r="F27" i="5" s="1"/>
  <c r="H27" i="5" s="1"/>
  <c r="E15" i="5"/>
  <c r="F15" i="5" s="1"/>
  <c r="H15" i="5" s="1"/>
  <c r="E26" i="5"/>
  <c r="F26" i="5" s="1"/>
  <c r="H26" i="5" s="1"/>
  <c r="E17" i="5" l="1"/>
  <c r="F17" i="5" s="1"/>
  <c r="H17" i="5" s="1"/>
  <c r="D19" i="5"/>
  <c r="E18" i="5"/>
  <c r="F18" i="5" s="1"/>
  <c r="H18" i="5" s="1"/>
  <c r="E19" i="5" l="1"/>
  <c r="F19" i="5" s="1"/>
  <c r="H19" i="5" s="1"/>
  <c r="D20" i="5"/>
  <c r="E20" i="5" l="1"/>
  <c r="F20" i="5" s="1"/>
  <c r="H20" i="5" s="1"/>
  <c r="D21" i="5"/>
  <c r="E21" i="5" s="1"/>
  <c r="F21" i="5" s="1"/>
  <c r="H21" i="5" s="1"/>
  <c r="H30" i="5" l="1"/>
</calcChain>
</file>

<file path=xl/sharedStrings.xml><?xml version="1.0" encoding="utf-8"?>
<sst xmlns="http://schemas.openxmlformats.org/spreadsheetml/2006/main" count="75" uniqueCount="63">
  <si>
    <t>TIME t(min)</t>
  </si>
  <si>
    <t>TIME t(sec)</t>
  </si>
  <si>
    <t>Storage   cu.ft</t>
  </si>
  <si>
    <t>Area</t>
  </si>
  <si>
    <t>acres</t>
  </si>
  <si>
    <t>min</t>
  </si>
  <si>
    <t>PROJECT :</t>
  </si>
  <si>
    <t>BASIN:</t>
  </si>
  <si>
    <t>DESIGNER:</t>
  </si>
  <si>
    <t>DATE:</t>
  </si>
  <si>
    <t>sq.ft</t>
  </si>
  <si>
    <t>Weighted C</t>
  </si>
  <si>
    <t>Define Time of Concentration</t>
  </si>
  <si>
    <t>Flow Segment</t>
  </si>
  <si>
    <t>Overland flow</t>
  </si>
  <si>
    <t>Gutter flow</t>
  </si>
  <si>
    <t>Pipe flow</t>
  </si>
  <si>
    <t>Total L = hydraulic length.</t>
  </si>
  <si>
    <t>Length(ft)</t>
  </si>
  <si>
    <t>Slope(ft/ft)</t>
  </si>
  <si>
    <t>K(ft/min)</t>
  </si>
  <si>
    <t>Tt(min)</t>
  </si>
  <si>
    <t>Tc(min)</t>
  </si>
  <si>
    <t>Intensity (in/hr)</t>
  </si>
  <si>
    <t>Ground Cover Coefficient (K): Table 4-7</t>
  </si>
  <si>
    <t>Time of Concentration</t>
  </si>
  <si>
    <t>cfs</t>
  </si>
  <si>
    <t>Allowable Release Rate</t>
  </si>
  <si>
    <t>Vout (cu.ft)</t>
  </si>
  <si>
    <t>Vin (cu.ft)</t>
  </si>
  <si>
    <t>Design Storm</t>
  </si>
  <si>
    <t>year</t>
  </si>
  <si>
    <t>Define Cpost</t>
  </si>
  <si>
    <t>Weighted Cpost</t>
  </si>
  <si>
    <t>Minimum Storage required</t>
  </si>
  <si>
    <t>Qp(cfs)</t>
  </si>
  <si>
    <t>Length (L): Measured from site plan</t>
  </si>
  <si>
    <t>Flow Segment Travel Time(Tt): Tt/(K*S^.5)</t>
  </si>
  <si>
    <t>Type</t>
  </si>
  <si>
    <t>Cpost</t>
  </si>
  <si>
    <t>total acres</t>
  </si>
  <si>
    <t>Intensity</t>
  </si>
  <si>
    <t>in/hour</t>
  </si>
  <si>
    <t>Cpre</t>
  </si>
  <si>
    <t>Detention ponds in special drainage areas, additional criteria</t>
  </si>
  <si>
    <t>0.1 cfs/acre: Table 2-1</t>
  </si>
  <si>
    <t>Infiltration facilities</t>
  </si>
  <si>
    <t>Cells for additional calculations (one page)</t>
  </si>
  <si>
    <t>Duration (min)</t>
  </si>
  <si>
    <t>Design Storm (year)</t>
  </si>
  <si>
    <t>Generally: Allowable infiltration rate * pond bottom area</t>
  </si>
  <si>
    <t>Allowable Infiltration Rate</t>
  </si>
  <si>
    <t>Pond/Swale bottom area</t>
  </si>
  <si>
    <t>sf</t>
  </si>
  <si>
    <t>Select from IDF Curve table; If Tc &lt;5 min, use Tc=5 min</t>
  </si>
  <si>
    <t>Detention ponds matching the pre-development peak rate: Table 2-1</t>
  </si>
  <si>
    <t>BOWSTRING (MODIFIED RATIONAL) WORKSHEET</t>
  </si>
  <si>
    <t>Portneuf Valley IDF Curves</t>
  </si>
  <si>
    <t>Defining pre-development peak flow rate for multiple storm events using rational method</t>
  </si>
  <si>
    <t>INPUT NEEDED</t>
  </si>
  <si>
    <t>OUTPUTS</t>
  </si>
  <si>
    <t xml:space="preserve">Q out= </t>
  </si>
  <si>
    <t xml:space="preserve">Qout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</si>
</sst>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General_)"/>
    <numFmt numFmtId="166" formatCode="0.00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2E76BC"/>
      <name val="Calibri"/>
      <family val="2"/>
      <scheme val="minor"/>
    </font>
    <font>
      <sz val="11"/>
      <color theme="1"/>
      <name val="Myriad Pro"/>
      <family val="2"/>
    </font>
    <font>
      <b/>
      <i/>
      <sz val="11"/>
      <color theme="1"/>
      <name val="Myriad Pro"/>
      <family val="2"/>
    </font>
    <font>
      <b/>
      <sz val="10"/>
      <color theme="1"/>
      <name val="Myriad Pro"/>
      <family val="2"/>
    </font>
    <font>
      <b/>
      <sz val="11"/>
      <color theme="1"/>
      <name val="Myriad Pro"/>
      <family val="2"/>
    </font>
    <font>
      <sz val="10"/>
      <color theme="1"/>
      <name val="Myriad Pro"/>
      <family val="2"/>
    </font>
    <font>
      <i/>
      <sz val="10"/>
      <color theme="1"/>
      <name val="Myriad Pro"/>
      <family val="2"/>
    </font>
    <font>
      <b/>
      <sz val="8"/>
      <color theme="1"/>
      <name val="Myriad Pro"/>
      <family val="2"/>
    </font>
    <font>
      <b/>
      <sz val="9"/>
      <color theme="1"/>
      <name val="Myriad Pro"/>
      <family val="2"/>
    </font>
    <font>
      <b/>
      <i/>
      <sz val="10"/>
      <color theme="1"/>
      <name val="Myriad Pro"/>
      <family val="2"/>
    </font>
    <font>
      <i/>
      <sz val="11"/>
      <color theme="1"/>
      <name val="Calibri"/>
      <family val="2"/>
      <scheme val="minor"/>
    </font>
    <font>
      <sz val="10"/>
      <name val="Geneva"/>
    </font>
    <font>
      <i/>
      <sz val="11"/>
      <color theme="1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b/>
      <sz val="12"/>
      <color theme="1"/>
      <name val="Myriad Pro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9E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15" fillId="0" borderId="0"/>
    <xf numFmtId="165" fontId="15" fillId="0" borderId="0"/>
  </cellStyleXfs>
  <cellXfs count="191">
    <xf numFmtId="0" fontId="0" fillId="0" borderId="0" xfId="0"/>
    <xf numFmtId="0" fontId="0" fillId="0" borderId="0" xfId="0" applyBorder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Fill="1" applyBorder="1"/>
    <xf numFmtId="166" fontId="15" fillId="0" borderId="0" xfId="14" applyNumberFormat="1" applyBorder="1" applyProtection="1"/>
    <xf numFmtId="0" fontId="4" fillId="0" borderId="2" xfId="0" applyFont="1" applyBorder="1" applyProtection="1"/>
    <xf numFmtId="0" fontId="1" fillId="0" borderId="3" xfId="0" applyFont="1" applyBorder="1" applyProtection="1"/>
    <xf numFmtId="0" fontId="0" fillId="0" borderId="3" xfId="0" applyBorder="1" applyProtection="1"/>
    <xf numFmtId="0" fontId="7" fillId="0" borderId="4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9" fillId="0" borderId="0" xfId="0" applyFont="1" applyBorder="1" applyProtection="1"/>
    <xf numFmtId="0" fontId="5" fillId="0" borderId="0" xfId="0" applyFont="1" applyBorder="1" applyProtection="1"/>
    <xf numFmtId="0" fontId="7" fillId="0" borderId="4" xfId="0" applyFont="1" applyBorder="1" applyAlignment="1" applyProtection="1"/>
    <xf numFmtId="0" fontId="0" fillId="0" borderId="5" xfId="0" applyBorder="1" applyProtection="1"/>
    <xf numFmtId="0" fontId="12" fillId="0" borderId="6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wrapText="1"/>
    </xf>
    <xf numFmtId="1" fontId="9" fillId="0" borderId="1" xfId="0" applyNumberFormat="1" applyFont="1" applyBorder="1" applyAlignment="1" applyProtection="1">
      <alignment horizontal="center"/>
    </xf>
    <xf numFmtId="2" fontId="9" fillId="0" borderId="1" xfId="0" applyNumberFormat="1" applyFont="1" applyBorder="1" applyAlignment="1" applyProtection="1">
      <alignment horizontal="center"/>
    </xf>
    <xf numFmtId="2" fontId="9" fillId="0" borderId="1" xfId="0" applyNumberFormat="1" applyFont="1" applyFill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wrapText="1"/>
    </xf>
    <xf numFmtId="0" fontId="9" fillId="0" borderId="6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9" fillId="0" borderId="5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wrapText="1"/>
    </xf>
    <xf numFmtId="0" fontId="5" fillId="0" borderId="4" xfId="0" applyFont="1" applyBorder="1" applyProtection="1"/>
    <xf numFmtId="1" fontId="8" fillId="2" borderId="0" xfId="0" applyNumberFormat="1" applyFont="1" applyFill="1" applyBorder="1" applyProtection="1"/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Protection="1"/>
    <xf numFmtId="0" fontId="10" fillId="0" borderId="0" xfId="0" applyFont="1" applyBorder="1" applyProtection="1"/>
    <xf numFmtId="0" fontId="11" fillId="3" borderId="1" xfId="0" applyFont="1" applyFill="1" applyBorder="1" applyAlignment="1" applyProtection="1">
      <alignment horizontal="left"/>
    </xf>
    <xf numFmtId="0" fontId="11" fillId="3" borderId="1" xfId="0" applyFont="1" applyFill="1" applyBorder="1" applyAlignment="1" applyProtection="1">
      <alignment horizontal="center"/>
    </xf>
    <xf numFmtId="0" fontId="11" fillId="3" borderId="12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2" fontId="9" fillId="0" borderId="12" xfId="0" applyNumberFormat="1" applyFont="1" applyBorder="1" applyAlignment="1" applyProtection="1">
      <alignment horizontal="center"/>
    </xf>
    <xf numFmtId="0" fontId="9" fillId="0" borderId="8" xfId="0" applyFont="1" applyBorder="1" applyProtection="1"/>
    <xf numFmtId="0" fontId="14" fillId="0" borderId="0" xfId="0" applyFont="1" applyBorder="1"/>
    <xf numFmtId="0" fontId="13" fillId="0" borderId="0" xfId="0" applyFont="1" applyBorder="1"/>
    <xf numFmtId="2" fontId="7" fillId="2" borderId="0" xfId="0" applyNumberFormat="1" applyFont="1" applyFill="1" applyBorder="1" applyProtection="1"/>
    <xf numFmtId="166" fontId="18" fillId="0" borderId="1" xfId="14" applyNumberFormat="1" applyFont="1" applyBorder="1" applyProtection="1"/>
    <xf numFmtId="0" fontId="19" fillId="0" borderId="4" xfId="0" applyFont="1" applyFill="1" applyBorder="1" applyAlignment="1" applyProtection="1">
      <alignment horizontal="left"/>
    </xf>
    <xf numFmtId="0" fontId="19" fillId="0" borderId="4" xfId="0" applyFont="1" applyBorder="1" applyProtection="1"/>
    <xf numFmtId="0" fontId="11" fillId="3" borderId="6" xfId="0" applyFont="1" applyFill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9" fillId="3" borderId="0" xfId="0" applyFont="1" applyFill="1" applyBorder="1" applyProtection="1"/>
    <xf numFmtId="0" fontId="16" fillId="0" borderId="0" xfId="0" applyFont="1" applyBorder="1" applyProtection="1"/>
    <xf numFmtId="0" fontId="14" fillId="0" borderId="0" xfId="0" applyFont="1" applyBorder="1" applyProtection="1"/>
    <xf numFmtId="165" fontId="18" fillId="0" borderId="4" xfId="13" applyFont="1" applyBorder="1" applyAlignment="1" applyProtection="1">
      <alignment horizontal="center"/>
    </xf>
    <xf numFmtId="165" fontId="18" fillId="0" borderId="0" xfId="13" applyFont="1" applyBorder="1" applyProtection="1"/>
    <xf numFmtId="165" fontId="18" fillId="0" borderId="0" xfId="13" applyNumberFormat="1" applyFont="1" applyBorder="1" applyAlignment="1" applyProtection="1">
      <alignment horizontal="left"/>
    </xf>
    <xf numFmtId="165" fontId="18" fillId="0" borderId="4" xfId="13" applyNumberFormat="1" applyFont="1" applyBorder="1" applyAlignment="1" applyProtection="1">
      <alignment horizontal="center"/>
    </xf>
    <xf numFmtId="165" fontId="18" fillId="0" borderId="0" xfId="13" applyNumberFormat="1" applyFont="1" applyBorder="1" applyProtection="1"/>
    <xf numFmtId="165" fontId="18" fillId="0" borderId="7" xfId="13" applyNumberFormat="1" applyFont="1" applyBorder="1" applyAlignment="1" applyProtection="1">
      <alignment horizontal="center"/>
    </xf>
    <xf numFmtId="166" fontId="18" fillId="0" borderId="14" xfId="14" applyNumberFormat="1" applyFont="1" applyBorder="1" applyProtection="1"/>
    <xf numFmtId="0" fontId="9" fillId="4" borderId="0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</xf>
    <xf numFmtId="2" fontId="7" fillId="2" borderId="19" xfId="0" applyNumberFormat="1" applyFont="1" applyFill="1" applyBorder="1" applyAlignment="1" applyProtection="1">
      <alignment horizontal="center"/>
    </xf>
    <xf numFmtId="0" fontId="19" fillId="0" borderId="2" xfId="0" applyFont="1" applyBorder="1" applyProtection="1"/>
    <xf numFmtId="0" fontId="9" fillId="0" borderId="3" xfId="0" applyFont="1" applyBorder="1" applyProtection="1"/>
    <xf numFmtId="0" fontId="5" fillId="0" borderId="3" xfId="0" applyFont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165" fontId="18" fillId="0" borderId="5" xfId="13" applyFont="1" applyBorder="1" applyProtection="1"/>
    <xf numFmtId="165" fontId="18" fillId="0" borderId="5" xfId="13" applyNumberFormat="1" applyFont="1" applyBorder="1" applyProtection="1"/>
    <xf numFmtId="166" fontId="18" fillId="0" borderId="12" xfId="14" applyNumberFormat="1" applyFont="1" applyBorder="1" applyProtection="1"/>
    <xf numFmtId="166" fontId="18" fillId="0" borderId="19" xfId="14" applyNumberFormat="1" applyFont="1" applyBorder="1" applyProtection="1"/>
    <xf numFmtId="2" fontId="7" fillId="0" borderId="0" xfId="0" applyNumberFormat="1" applyFont="1" applyFill="1" applyBorder="1" applyProtection="1"/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9" fillId="0" borderId="14" xfId="0" applyFont="1" applyBorder="1" applyProtection="1"/>
    <xf numFmtId="0" fontId="7" fillId="0" borderId="10" xfId="0" applyFont="1" applyBorder="1" applyAlignment="1" applyProtection="1">
      <alignment horizontal="left"/>
    </xf>
    <xf numFmtId="0" fontId="7" fillId="0" borderId="4" xfId="0" applyFont="1" applyFill="1" applyBorder="1" applyProtection="1"/>
    <xf numFmtId="0" fontId="1" fillId="0" borderId="0" xfId="0" applyFont="1" applyFill="1" applyBorder="1" applyProtection="1"/>
    <xf numFmtId="0" fontId="20" fillId="0" borderId="0" xfId="0" applyFont="1" applyBorder="1" applyProtection="1"/>
    <xf numFmtId="0" fontId="20" fillId="4" borderId="0" xfId="0" applyFont="1" applyFill="1" applyBorder="1" applyProtection="1">
      <protection locked="0"/>
    </xf>
    <xf numFmtId="0" fontId="20" fillId="0" borderId="4" xfId="0" applyFont="1" applyBorder="1" applyProtection="1"/>
    <xf numFmtId="2" fontId="9" fillId="4" borderId="0" xfId="0" applyNumberFormat="1" applyFont="1" applyFill="1" applyBorder="1" applyProtection="1">
      <protection locked="0"/>
    </xf>
    <xf numFmtId="2" fontId="7" fillId="2" borderId="0" xfId="0" applyNumberFormat="1" applyFont="1" applyFill="1" applyBorder="1" applyAlignment="1" applyProtection="1">
      <alignment horizontal="right" wrapText="1"/>
    </xf>
    <xf numFmtId="0" fontId="0" fillId="5" borderId="6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9" fillId="0" borderId="0" xfId="0" applyFont="1" applyFill="1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/>
    <xf numFmtId="2" fontId="9" fillId="5" borderId="14" xfId="0" applyNumberFormat="1" applyFont="1" applyFill="1" applyBorder="1" applyProtection="1">
      <protection locked="0"/>
    </xf>
    <xf numFmtId="0" fontId="9" fillId="0" borderId="20" xfId="0" applyFont="1" applyBorder="1" applyProtection="1"/>
    <xf numFmtId="0" fontId="7" fillId="0" borderId="0" xfId="0" applyFont="1" applyFill="1" applyBorder="1" applyProtection="1"/>
    <xf numFmtId="166" fontId="15" fillId="0" borderId="0" xfId="14" applyNumberFormat="1" applyFill="1" applyBorder="1" applyProtection="1"/>
    <xf numFmtId="2" fontId="9" fillId="4" borderId="1" xfId="0" applyNumberFormat="1" applyFont="1" applyFill="1" applyBorder="1" applyProtection="1">
      <protection locked="0"/>
    </xf>
    <xf numFmtId="0" fontId="7" fillId="6" borderId="0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10" fillId="0" borderId="7" xfId="0" applyFont="1" applyFill="1" applyBorder="1" applyProtection="1"/>
    <xf numFmtId="0" fontId="9" fillId="0" borderId="8" xfId="0" applyFont="1" applyFill="1" applyBorder="1" applyProtection="1"/>
    <xf numFmtId="0" fontId="7" fillId="0" borderId="8" xfId="0" applyFont="1" applyFill="1" applyBorder="1" applyProtection="1"/>
    <xf numFmtId="0" fontId="0" fillId="0" borderId="8" xfId="0" applyFill="1" applyBorder="1" applyProtection="1"/>
    <xf numFmtId="0" fontId="9" fillId="4" borderId="21" xfId="0" applyFont="1" applyFill="1" applyBorder="1" applyProtection="1">
      <protection locked="0"/>
    </xf>
    <xf numFmtId="0" fontId="9" fillId="5" borderId="21" xfId="0" applyFont="1" applyFill="1" applyBorder="1" applyProtection="1">
      <protection locked="0"/>
    </xf>
    <xf numFmtId="0" fontId="7" fillId="3" borderId="4" xfId="0" applyFont="1" applyFill="1" applyBorder="1" applyProtection="1"/>
    <xf numFmtId="0" fontId="9" fillId="0" borderId="22" xfId="0" applyFont="1" applyBorder="1" applyProtection="1"/>
    <xf numFmtId="0" fontId="9" fillId="0" borderId="12" xfId="0" applyFont="1" applyBorder="1" applyProtection="1"/>
    <xf numFmtId="0" fontId="9" fillId="0" borderId="19" xfId="0" applyFont="1" applyBorder="1" applyProtection="1"/>
    <xf numFmtId="0" fontId="9" fillId="0" borderId="4" xfId="0" applyFont="1" applyBorder="1" applyProtection="1"/>
    <xf numFmtId="0" fontId="7" fillId="2" borderId="0" xfId="0" applyFont="1" applyFill="1" applyBorder="1" applyProtection="1"/>
    <xf numFmtId="0" fontId="9" fillId="0" borderId="4" xfId="0" applyFont="1" applyFill="1" applyBorder="1" applyProtection="1"/>
    <xf numFmtId="0" fontId="0" fillId="0" borderId="4" xfId="0" applyBorder="1" applyProtection="1"/>
    <xf numFmtId="0" fontId="10" fillId="0" borderId="4" xfId="0" applyFont="1" applyBorder="1" applyProtection="1"/>
    <xf numFmtId="0" fontId="9" fillId="0" borderId="21" xfId="0" applyFont="1" applyBorder="1" applyProtection="1"/>
    <xf numFmtId="0" fontId="0" fillId="0" borderId="0" xfId="0" applyProtection="1"/>
    <xf numFmtId="0" fontId="9" fillId="0" borderId="13" xfId="0" applyFont="1" applyBorder="1" applyProtection="1"/>
    <xf numFmtId="0" fontId="9" fillId="0" borderId="23" xfId="0" applyFont="1" applyBorder="1" applyAlignment="1" applyProtection="1">
      <alignment horizontal="left"/>
    </xf>
    <xf numFmtId="0" fontId="9" fillId="0" borderId="24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9" fillId="0" borderId="16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165" fontId="17" fillId="3" borderId="2" xfId="13" applyFont="1" applyFill="1" applyBorder="1" applyAlignment="1" applyProtection="1">
      <alignment horizontal="left"/>
    </xf>
    <xf numFmtId="165" fontId="17" fillId="3" borderId="3" xfId="13" applyFont="1" applyFill="1" applyBorder="1" applyAlignment="1" applyProtection="1">
      <alignment horizontal="left"/>
    </xf>
    <xf numFmtId="165" fontId="17" fillId="3" borderId="11" xfId="13" applyFont="1" applyFill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14" fontId="11" fillId="4" borderId="0" xfId="0" applyNumberFormat="1" applyFont="1" applyFill="1" applyBorder="1" applyAlignment="1" applyProtection="1">
      <alignment horizontal="left"/>
      <protection locked="0"/>
    </xf>
    <xf numFmtId="14" fontId="11" fillId="4" borderId="5" xfId="0" applyNumberFormat="1" applyFont="1" applyFill="1" applyBorder="1" applyAlignment="1" applyProtection="1">
      <alignment horizontal="left"/>
      <protection locked="0"/>
    </xf>
    <xf numFmtId="16" fontId="11" fillId="4" borderId="0" xfId="0" applyNumberFormat="1" applyFont="1" applyFill="1" applyBorder="1" applyAlignment="1" applyProtection="1">
      <alignment horizontal="left" wrapText="1"/>
      <protection locked="0"/>
    </xf>
    <xf numFmtId="16" fontId="11" fillId="4" borderId="5" xfId="0" applyNumberFormat="1" applyFont="1" applyFill="1" applyBorder="1" applyAlignment="1" applyProtection="1">
      <alignment horizontal="left" wrapText="1"/>
      <protection locked="0"/>
    </xf>
    <xf numFmtId="0" fontId="9" fillId="0" borderId="25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2" fontId="9" fillId="0" borderId="26" xfId="0" applyNumberFormat="1" applyFont="1" applyFill="1" applyBorder="1" applyAlignment="1" applyProtection="1">
      <alignment horizontal="center"/>
    </xf>
    <xf numFmtId="2" fontId="9" fillId="0" borderId="26" xfId="0" applyNumberFormat="1" applyFont="1" applyBorder="1" applyAlignment="1" applyProtection="1">
      <alignment horizontal="center"/>
    </xf>
    <xf numFmtId="1" fontId="9" fillId="0" borderId="26" xfId="0" applyNumberFormat="1" applyFont="1" applyBorder="1" applyAlignment="1" applyProtection="1">
      <alignment horizontal="center"/>
    </xf>
    <xf numFmtId="2" fontId="9" fillId="0" borderId="27" xfId="0" applyNumberFormat="1" applyFont="1" applyBorder="1" applyAlignment="1" applyProtection="1">
      <alignment horizontal="center"/>
    </xf>
    <xf numFmtId="1" fontId="9" fillId="0" borderId="28" xfId="0" applyNumberFormat="1" applyFont="1" applyBorder="1" applyAlignment="1" applyProtection="1">
      <alignment horizontal="center"/>
    </xf>
    <xf numFmtId="2" fontId="9" fillId="0" borderId="28" xfId="0" applyNumberFormat="1" applyFont="1" applyFill="1" applyBorder="1" applyAlignment="1" applyProtection="1">
      <alignment horizontal="center"/>
    </xf>
    <xf numFmtId="0" fontId="8" fillId="0" borderId="29" xfId="0" applyFont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12" fillId="5" borderId="2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7" fillId="3" borderId="20" xfId="0" applyFont="1" applyFill="1" applyBorder="1" applyAlignment="1" applyProtection="1">
      <alignment horizontal="left"/>
    </xf>
    <xf numFmtId="0" fontId="7" fillId="3" borderId="21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>
      <alignment horizontal="center" wrapText="1"/>
    </xf>
    <xf numFmtId="0" fontId="7" fillId="3" borderId="22" xfId="0" applyFont="1" applyFill="1" applyBorder="1" applyAlignment="1" applyProtection="1">
      <alignment horizontal="center"/>
    </xf>
    <xf numFmtId="164" fontId="9" fillId="0" borderId="12" xfId="0" applyNumberFormat="1" applyFont="1" applyFill="1" applyBorder="1" applyAlignment="1" applyProtection="1">
      <alignment horizontal="center"/>
    </xf>
    <xf numFmtId="0" fontId="0" fillId="5" borderId="13" xfId="0" applyFill="1" applyBorder="1" applyProtection="1"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4" xfId="0" applyFill="1" applyBorder="1" applyProtection="1">
      <protection locked="0"/>
    </xf>
    <xf numFmtId="164" fontId="9" fillId="0" borderId="19" xfId="0" applyNumberFormat="1" applyFont="1" applyFill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 wrapText="1"/>
    </xf>
    <xf numFmtId="0" fontId="12" fillId="5" borderId="11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0" fontId="9" fillId="0" borderId="9" xfId="0" applyFont="1" applyBorder="1" applyProtection="1"/>
    <xf numFmtId="0" fontId="0" fillId="0" borderId="0" xfId="0" applyFont="1" applyFill="1" applyBorder="1" applyAlignment="1" applyProtection="1">
      <alignment horizontal="right"/>
    </xf>
    <xf numFmtId="0" fontId="1" fillId="3" borderId="21" xfId="0" applyFont="1" applyFill="1" applyBorder="1" applyProtection="1"/>
    <xf numFmtId="0" fontId="0" fillId="0" borderId="6" xfId="0" applyBorder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0" fontId="1" fillId="0" borderId="4" xfId="0" applyFont="1" applyFill="1" applyBorder="1" applyProtection="1"/>
    <xf numFmtId="0" fontId="21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21" fillId="0" borderId="0" xfId="0" applyFont="1" applyFill="1" applyBorder="1" applyProtection="1"/>
    <xf numFmtId="0" fontId="0" fillId="0" borderId="4" xfId="0" applyFill="1" applyBorder="1" applyProtection="1"/>
    <xf numFmtId="0" fontId="14" fillId="0" borderId="0" xfId="0" applyFont="1" applyFill="1" applyBorder="1" applyProtection="1"/>
    <xf numFmtId="2" fontId="0" fillId="0" borderId="0" xfId="0" applyNumberFormat="1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3"/>
    <cellStyle name="Normal_IDF Curves" xfId="14"/>
  </cellStyles>
  <dxfs count="0"/>
  <tableStyles count="0" defaultTableStyle="TableStyleMedium2" defaultPivotStyle="PivotStyleLight16"/>
  <colors>
    <mruColors>
      <color rgb="FFBED9EC"/>
      <color rgb="FF82B6DB"/>
      <color rgb="FF78ABDE"/>
      <color rgb="FF2E76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showGridLines="0" tabSelected="1" showWhiteSpace="0" topLeftCell="A64" zoomScale="145" zoomScaleNormal="145" zoomScaleSheetLayoutView="115" zoomScalePageLayoutView="115" workbookViewId="0">
      <selection activeCell="F5" sqref="F5"/>
    </sheetView>
  </sheetViews>
  <sheetFormatPr defaultColWidth="8.85546875" defaultRowHeight="15"/>
  <cols>
    <col min="1" max="1" width="3.28515625" style="1" customWidth="1"/>
    <col min="2" max="2" width="8" customWidth="1"/>
    <col min="3" max="3" width="11.85546875" customWidth="1"/>
    <col min="4" max="4" width="10" customWidth="1"/>
    <col min="5" max="5" width="10.28515625" customWidth="1"/>
    <col min="6" max="6" width="8.7109375" customWidth="1"/>
    <col min="7" max="7" width="7.5703125" customWidth="1"/>
    <col min="8" max="8" width="9.85546875" customWidth="1"/>
    <col min="9" max="9" width="5.7109375" customWidth="1"/>
    <col min="10" max="10" width="5.28515625" customWidth="1"/>
    <col min="11" max="11" width="9.42578125" customWidth="1"/>
    <col min="13" max="13" width="10.7109375" customWidth="1"/>
    <col min="14" max="14" width="10.5703125" customWidth="1"/>
    <col min="15" max="15" width="13.5703125" customWidth="1"/>
  </cols>
  <sheetData>
    <row r="1" spans="2:22" ht="21.75" customHeight="1">
      <c r="B1" s="10" t="s">
        <v>56</v>
      </c>
      <c r="C1" s="11"/>
      <c r="D1" s="11"/>
      <c r="E1" s="11"/>
      <c r="F1" s="11"/>
      <c r="G1" s="12"/>
      <c r="H1" s="12"/>
      <c r="I1" s="140"/>
      <c r="J1" s="140"/>
      <c r="K1" s="170"/>
      <c r="L1" s="2"/>
      <c r="M1" s="2"/>
      <c r="N1" s="1"/>
      <c r="O1" s="2"/>
      <c r="P1" s="2"/>
      <c r="Q1" s="2"/>
      <c r="R1" s="2"/>
      <c r="S1" s="45"/>
      <c r="T1" s="1"/>
      <c r="U1" s="1"/>
      <c r="V1" s="1"/>
    </row>
    <row r="2" spans="2:22">
      <c r="B2" s="85"/>
      <c r="C2" s="86"/>
      <c r="D2" s="176"/>
      <c r="E2" s="14"/>
      <c r="F2" s="14"/>
      <c r="G2" s="15"/>
      <c r="H2" s="15"/>
      <c r="I2" s="15"/>
      <c r="J2" s="15"/>
      <c r="K2" s="19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>
      <c r="B3" s="13" t="s">
        <v>30</v>
      </c>
      <c r="C3" s="87"/>
      <c r="D3" s="88"/>
      <c r="E3" s="87" t="s">
        <v>31</v>
      </c>
      <c r="F3" s="15"/>
      <c r="G3" s="139" t="s">
        <v>6</v>
      </c>
      <c r="H3" s="139"/>
      <c r="I3" s="141"/>
      <c r="J3" s="141"/>
      <c r="K3" s="142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>
      <c r="B4" s="13" t="s">
        <v>3</v>
      </c>
      <c r="C4" s="16"/>
      <c r="D4" s="90"/>
      <c r="E4" s="16" t="s">
        <v>4</v>
      </c>
      <c r="F4" s="17"/>
      <c r="G4" s="139" t="s">
        <v>7</v>
      </c>
      <c r="H4" s="139"/>
      <c r="I4" s="145"/>
      <c r="J4" s="145"/>
      <c r="K4" s="146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>
      <c r="B5" s="18" t="s">
        <v>25</v>
      </c>
      <c r="C5" s="16"/>
      <c r="D5" s="90"/>
      <c r="E5" s="16" t="s">
        <v>5</v>
      </c>
      <c r="F5" s="17"/>
      <c r="G5" s="139" t="s">
        <v>8</v>
      </c>
      <c r="H5" s="139"/>
      <c r="I5" s="141"/>
      <c r="J5" s="141"/>
      <c r="K5" s="142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>
      <c r="B6" s="18" t="s">
        <v>33</v>
      </c>
      <c r="C6" s="16"/>
      <c r="D6" s="90"/>
      <c r="E6" s="16"/>
      <c r="F6" s="17"/>
      <c r="G6" s="139" t="s">
        <v>9</v>
      </c>
      <c r="H6" s="139"/>
      <c r="I6" s="143"/>
      <c r="J6" s="143"/>
      <c r="K6" s="144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>
      <c r="B7" s="13" t="s">
        <v>27</v>
      </c>
      <c r="C7" s="16"/>
      <c r="D7" s="63"/>
      <c r="E7" s="16" t="s">
        <v>26</v>
      </c>
      <c r="F7" s="17"/>
      <c r="G7" s="15"/>
      <c r="H7" s="17"/>
      <c r="I7" s="15"/>
      <c r="J7" s="15"/>
      <c r="K7" s="19"/>
      <c r="L7" s="1"/>
      <c r="M7" s="1"/>
      <c r="N7" s="8"/>
      <c r="O7" s="8"/>
      <c r="P7" s="1"/>
      <c r="Q7" s="1"/>
      <c r="R7" s="1"/>
      <c r="S7" s="1"/>
      <c r="T7" s="1"/>
      <c r="U7" s="1"/>
      <c r="V7" s="1"/>
    </row>
    <row r="8" spans="2:22" ht="15.75" thickBot="1">
      <c r="B8" s="89"/>
      <c r="C8" s="87"/>
      <c r="D8" s="87"/>
      <c r="E8" s="87"/>
      <c r="F8" s="15"/>
      <c r="G8" s="15"/>
      <c r="H8" s="15"/>
      <c r="I8" s="15"/>
      <c r="J8" s="15"/>
      <c r="K8" s="19"/>
      <c r="L8" s="1"/>
      <c r="M8" s="1"/>
      <c r="N8" s="8"/>
      <c r="O8" s="8"/>
      <c r="P8" s="44"/>
      <c r="Q8" s="1"/>
      <c r="R8" s="1"/>
      <c r="S8" s="1"/>
      <c r="T8" s="1"/>
      <c r="U8" s="1"/>
      <c r="V8" s="1"/>
    </row>
    <row r="9" spans="2:22" ht="24.75">
      <c r="B9" s="20" t="s">
        <v>0</v>
      </c>
      <c r="C9" s="21" t="s">
        <v>1</v>
      </c>
      <c r="D9" s="21" t="s">
        <v>23</v>
      </c>
      <c r="E9" s="21" t="s">
        <v>35</v>
      </c>
      <c r="F9" s="21" t="s">
        <v>29</v>
      </c>
      <c r="G9" s="21" t="s">
        <v>28</v>
      </c>
      <c r="H9" s="21" t="s">
        <v>2</v>
      </c>
      <c r="I9" s="17"/>
      <c r="J9" s="157" t="s">
        <v>59</v>
      </c>
      <c r="K9" s="171"/>
      <c r="L9" s="7"/>
      <c r="M9" s="7"/>
      <c r="N9" s="7"/>
      <c r="O9" s="8"/>
      <c r="P9" s="1"/>
      <c r="Q9" s="1"/>
      <c r="R9" s="1"/>
      <c r="S9" s="1"/>
      <c r="T9" s="1"/>
      <c r="U9" s="1"/>
      <c r="V9" s="1"/>
    </row>
    <row r="10" spans="2:22" ht="15.75" thickBot="1">
      <c r="B10" s="152">
        <f>IF(D5&lt;B11,B11, D5)</f>
        <v>5</v>
      </c>
      <c r="C10" s="153">
        <f t="shared" ref="C10:C29" si="0">B10*60</f>
        <v>300</v>
      </c>
      <c r="D10" s="154" t="e">
        <f>D11+(D11-D12)*((B10-B11)/(B11-B12))</f>
        <v>#N/A</v>
      </c>
      <c r="E10" s="154" t="e">
        <f>$D$6*D10*$D$4</f>
        <v>#N/A</v>
      </c>
      <c r="F10" s="153" t="e">
        <f>1.34*E10*C10</f>
        <v>#N/A</v>
      </c>
      <c r="G10" s="153">
        <f>$D$7*B10*60</f>
        <v>0</v>
      </c>
      <c r="H10" s="153" t="e">
        <f t="shared" ref="H10:H29" si="1">F10-G10</f>
        <v>#N/A</v>
      </c>
      <c r="I10" s="17"/>
      <c r="J10" s="158" t="s">
        <v>60</v>
      </c>
      <c r="K10" s="172"/>
      <c r="L10" s="7"/>
      <c r="M10" s="7"/>
      <c r="N10" s="7"/>
      <c r="O10" s="1"/>
      <c r="P10" s="1"/>
      <c r="Q10" s="1"/>
      <c r="R10" s="1"/>
      <c r="S10" s="1"/>
      <c r="T10" s="1"/>
      <c r="U10" s="1"/>
      <c r="V10" s="1"/>
    </row>
    <row r="11" spans="2:22" ht="15.75" thickTop="1">
      <c r="B11" s="147">
        <v>5</v>
      </c>
      <c r="C11" s="148">
        <f t="shared" si="0"/>
        <v>300</v>
      </c>
      <c r="D11" s="149" t="e">
        <f>HLOOKUP(D3,D58:I68,2)</f>
        <v>#N/A</v>
      </c>
      <c r="E11" s="150" t="e">
        <f>$D$6*D11*$D$4</f>
        <v>#N/A</v>
      </c>
      <c r="F11" s="151" t="e">
        <f>IF(B11&lt;$B$10,1.34*E11*C11,E11*C11+0.34*E11*$C$10)</f>
        <v>#N/A</v>
      </c>
      <c r="G11" s="151">
        <f>$D$7*B11*60</f>
        <v>0</v>
      </c>
      <c r="H11" s="151" t="e">
        <f t="shared" si="1"/>
        <v>#N/A</v>
      </c>
      <c r="I11" s="17"/>
      <c r="J11" s="15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>
      <c r="B12" s="27">
        <v>10</v>
      </c>
      <c r="C12" s="26">
        <f t="shared" si="0"/>
        <v>600</v>
      </c>
      <c r="D12" s="24" t="e">
        <f>HLOOKUP(D3,D58:I68,3)</f>
        <v>#N/A</v>
      </c>
      <c r="E12" s="23" t="e">
        <f>$D$6*D12*$D$4</f>
        <v>#N/A</v>
      </c>
      <c r="F12" s="22" t="e">
        <f>IF(B12&lt;$B$10,1.34*E12*C12,E12*C12+0.34*E12*$C$10)</f>
        <v>#N/A</v>
      </c>
      <c r="G12" s="22">
        <f>$D$7*B12*60</f>
        <v>0</v>
      </c>
      <c r="H12" s="22" t="e">
        <f t="shared" si="1"/>
        <v>#N/A</v>
      </c>
      <c r="I12" s="17"/>
      <c r="J12" s="15"/>
      <c r="K12" s="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>
      <c r="B13" s="25">
        <v>15</v>
      </c>
      <c r="C13" s="26">
        <f t="shared" si="0"/>
        <v>900</v>
      </c>
      <c r="D13" s="24" t="e">
        <f>HLOOKUP(D3,D58:I68,4)</f>
        <v>#N/A</v>
      </c>
      <c r="E13" s="23" t="e">
        <f>$D$6*D13*$D$4</f>
        <v>#N/A</v>
      </c>
      <c r="F13" s="22" t="e">
        <f>IF(B13&lt;$B$10,1.34*E13*C13,E13*C13+0.34*E13*$C$10)</f>
        <v>#N/A</v>
      </c>
      <c r="G13" s="22">
        <f>$D$7*B13*60</f>
        <v>0</v>
      </c>
      <c r="H13" s="22" t="e">
        <f t="shared" si="1"/>
        <v>#N/A</v>
      </c>
      <c r="I13" s="17"/>
      <c r="J13" s="15"/>
      <c r="K13" s="1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>
      <c r="B14" s="28">
        <v>20</v>
      </c>
      <c r="C14" s="29">
        <f t="shared" si="0"/>
        <v>1200</v>
      </c>
      <c r="D14" s="24" t="e">
        <f>D13+(D13-D16)*((B14-B13)/(B13-B16))</f>
        <v>#N/A</v>
      </c>
      <c r="E14" s="23" t="e">
        <f>$D$6*D14*$D$4</f>
        <v>#N/A</v>
      </c>
      <c r="F14" s="22" t="e">
        <f>IF(B14&lt;$B$10,1.34*E14*C14,E14*C14+0.34*E14*$C$10)</f>
        <v>#N/A</v>
      </c>
      <c r="G14" s="22">
        <f>$D$7*B14*60</f>
        <v>0</v>
      </c>
      <c r="H14" s="22" t="e">
        <f t="shared" si="1"/>
        <v>#N/A</v>
      </c>
      <c r="I14" s="17"/>
      <c r="J14" s="15"/>
      <c r="K14" s="1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>
      <c r="B15" s="28">
        <v>25</v>
      </c>
      <c r="C15" s="29">
        <f t="shared" si="0"/>
        <v>1500</v>
      </c>
      <c r="D15" s="24" t="e">
        <f>D14+(D14-D16)*((B15-B14)/(B14-B16))</f>
        <v>#N/A</v>
      </c>
      <c r="E15" s="23" t="e">
        <f>$D$6*D15*$D$4</f>
        <v>#N/A</v>
      </c>
      <c r="F15" s="22" t="e">
        <f>IF(B15&lt;$B$10,1.34*E15*C15,E15*C15+0.34*E15*$C$10)</f>
        <v>#N/A</v>
      </c>
      <c r="G15" s="22">
        <f>$D$7*B15*60</f>
        <v>0</v>
      </c>
      <c r="H15" s="22" t="e">
        <f t="shared" si="1"/>
        <v>#N/A</v>
      </c>
      <c r="I15" s="17"/>
      <c r="J15" s="15"/>
      <c r="K15" s="30"/>
      <c r="L15" s="2"/>
      <c r="M15" s="2"/>
      <c r="N15" s="2"/>
      <c r="O15" s="2"/>
      <c r="P15" s="2"/>
      <c r="Q15" s="2"/>
      <c r="R15" s="2"/>
      <c r="S15" s="2"/>
      <c r="T15" s="1"/>
      <c r="U15" s="1"/>
      <c r="V15" s="1"/>
    </row>
    <row r="16" spans="2:22">
      <c r="B16" s="25">
        <v>30</v>
      </c>
      <c r="C16" s="26">
        <f t="shared" si="0"/>
        <v>1800</v>
      </c>
      <c r="D16" s="24" t="e">
        <f>HLOOKUP(D3,D58:I68,5)</f>
        <v>#N/A</v>
      </c>
      <c r="E16" s="23" t="e">
        <f>$D$6*D16*$D$4</f>
        <v>#N/A</v>
      </c>
      <c r="F16" s="22" t="e">
        <f>IF(B16&lt;$B$10,1.34*E16*C16,E16*C16+0.34*E16*$C$10)</f>
        <v>#N/A</v>
      </c>
      <c r="G16" s="22">
        <f>$D$7*B16*60</f>
        <v>0</v>
      </c>
      <c r="H16" s="22" t="e">
        <f t="shared" si="1"/>
        <v>#N/A</v>
      </c>
      <c r="I16" s="17"/>
      <c r="J16" s="15"/>
      <c r="K16" s="19"/>
      <c r="L16" s="2"/>
      <c r="M16" s="2"/>
      <c r="N16" s="2"/>
      <c r="O16" s="2"/>
      <c r="P16" s="2"/>
      <c r="Q16" s="2"/>
      <c r="R16" s="2"/>
      <c r="S16" s="2"/>
      <c r="T16" s="1"/>
      <c r="U16" s="1"/>
      <c r="V16" s="1"/>
    </row>
    <row r="17" spans="2:22">
      <c r="B17" s="28">
        <v>35</v>
      </c>
      <c r="C17" s="29">
        <f t="shared" si="0"/>
        <v>2100</v>
      </c>
      <c r="D17" s="24" t="e">
        <f>D16+(D16-D22)*((B17-B16)/(B16-B22))</f>
        <v>#N/A</v>
      </c>
      <c r="E17" s="23" t="e">
        <f>$D$6*D17*$D$4</f>
        <v>#N/A</v>
      </c>
      <c r="F17" s="22" t="e">
        <f>IF(B17&lt;$B$10,1.34*E17*C17,E17*C17+0.34*E17*$C$10)</f>
        <v>#N/A</v>
      </c>
      <c r="G17" s="22">
        <f>$D$7*B17*60</f>
        <v>0</v>
      </c>
      <c r="H17" s="22" t="e">
        <f t="shared" si="1"/>
        <v>#N/A</v>
      </c>
      <c r="I17" s="17"/>
      <c r="J17" s="15"/>
      <c r="K17" s="1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>
      <c r="B18" s="28">
        <v>40</v>
      </c>
      <c r="C18" s="29">
        <f t="shared" si="0"/>
        <v>2400</v>
      </c>
      <c r="D18" s="24" t="e">
        <f>D17+(D17-D22)*((B18-B17)/(B17-B22))</f>
        <v>#N/A</v>
      </c>
      <c r="E18" s="23" t="e">
        <f>$D$6*D18*$D$4</f>
        <v>#N/A</v>
      </c>
      <c r="F18" s="22" t="e">
        <f>IF(B18&lt;$B$10,1.34*E18*C18,E18*C18+0.34*E18*$C$10)</f>
        <v>#N/A</v>
      </c>
      <c r="G18" s="22">
        <f>$D$7*B18*60</f>
        <v>0</v>
      </c>
      <c r="H18" s="22" t="e">
        <f t="shared" si="1"/>
        <v>#N/A</v>
      </c>
      <c r="I18" s="17"/>
      <c r="J18" s="15"/>
      <c r="K18" s="19"/>
      <c r="M18" s="1"/>
      <c r="N18" s="1"/>
      <c r="O18" s="1"/>
      <c r="P18" s="1"/>
      <c r="Q18" s="1"/>
      <c r="R18" s="1"/>
      <c r="S18" s="1"/>
    </row>
    <row r="19" spans="2:22">
      <c r="B19" s="25">
        <v>45</v>
      </c>
      <c r="C19" s="26">
        <f t="shared" si="0"/>
        <v>2700</v>
      </c>
      <c r="D19" s="24" t="e">
        <f>D18+(D18-D22)*((B19-B18)/(B18-B22))</f>
        <v>#N/A</v>
      </c>
      <c r="E19" s="23" t="e">
        <f>$D$6*D19*$D$4</f>
        <v>#N/A</v>
      </c>
      <c r="F19" s="22" t="e">
        <f>IF(B19&lt;$B$10,1.34*E19*C19,E19*C19+0.34*E19*$C$10)</f>
        <v>#N/A</v>
      </c>
      <c r="G19" s="22">
        <f>$D$7*B19*60</f>
        <v>0</v>
      </c>
      <c r="H19" s="22" t="e">
        <f t="shared" si="1"/>
        <v>#N/A</v>
      </c>
      <c r="I19" s="17"/>
      <c r="J19" s="15"/>
      <c r="K19" s="19"/>
      <c r="M19" s="1"/>
      <c r="N19" s="1"/>
      <c r="O19" s="1"/>
      <c r="P19" s="1"/>
      <c r="Q19" s="1"/>
      <c r="R19" s="1"/>
      <c r="S19" s="1"/>
    </row>
    <row r="20" spans="2:22">
      <c r="B20" s="25">
        <v>50</v>
      </c>
      <c r="C20" s="26">
        <f t="shared" si="0"/>
        <v>3000</v>
      </c>
      <c r="D20" s="24" t="e">
        <f>D19+(D19-D22)*((B20-B19)/(B19-B22))</f>
        <v>#N/A</v>
      </c>
      <c r="E20" s="23" t="e">
        <f>$D$6*D20*$D$4</f>
        <v>#N/A</v>
      </c>
      <c r="F20" s="22" t="e">
        <f>IF(B20&lt;$B$10,1.34*E20*C20,E20*C20+0.34*E20*$C$10)</f>
        <v>#N/A</v>
      </c>
      <c r="G20" s="22">
        <f>$D$7*B20*60</f>
        <v>0</v>
      </c>
      <c r="H20" s="22" t="e">
        <f t="shared" si="1"/>
        <v>#N/A</v>
      </c>
      <c r="I20" s="17"/>
      <c r="J20" s="15"/>
      <c r="K20" s="19"/>
      <c r="N20" s="1"/>
      <c r="O20" s="1"/>
      <c r="P20" s="1"/>
      <c r="Q20" s="1"/>
      <c r="R20" s="1"/>
      <c r="S20" s="1"/>
    </row>
    <row r="21" spans="2:22">
      <c r="B21" s="28">
        <v>55</v>
      </c>
      <c r="C21" s="29">
        <f t="shared" si="0"/>
        <v>3300</v>
      </c>
      <c r="D21" s="24" t="e">
        <f>D20+(D20-D22)*((B21-B20)/(B20-B22))</f>
        <v>#N/A</v>
      </c>
      <c r="E21" s="23" t="e">
        <f>$D$6*D21*$D$4</f>
        <v>#N/A</v>
      </c>
      <c r="F21" s="22" t="e">
        <f>IF(B21&lt;$B$10,1.34*E21*C21,E21*C21+0.34*E21*$C$10)</f>
        <v>#N/A</v>
      </c>
      <c r="G21" s="22">
        <f>$D$7*B21*60</f>
        <v>0</v>
      </c>
      <c r="H21" s="22" t="e">
        <f t="shared" si="1"/>
        <v>#N/A</v>
      </c>
      <c r="I21" s="17"/>
      <c r="J21" s="15"/>
      <c r="K21" s="19"/>
      <c r="N21" s="1"/>
      <c r="O21" s="1"/>
      <c r="P21" s="1"/>
      <c r="Q21" s="1"/>
      <c r="R21" s="1"/>
      <c r="S21" s="1"/>
    </row>
    <row r="22" spans="2:22">
      <c r="B22" s="25">
        <v>60</v>
      </c>
      <c r="C22" s="26">
        <f t="shared" si="0"/>
        <v>3600</v>
      </c>
      <c r="D22" s="24" t="e">
        <f>HLOOKUP(D3,D58:I68,6)</f>
        <v>#N/A</v>
      </c>
      <c r="E22" s="23" t="e">
        <f>$D$6*D22*$D$4</f>
        <v>#N/A</v>
      </c>
      <c r="F22" s="22" t="e">
        <f>IF(B22&lt;$B$10,1.34*E22*C22,E22*C22+0.34*E22*$C$10)</f>
        <v>#N/A</v>
      </c>
      <c r="G22" s="22">
        <f>$D$7*B22*60</f>
        <v>0</v>
      </c>
      <c r="H22" s="22" t="e">
        <f t="shared" si="1"/>
        <v>#N/A</v>
      </c>
      <c r="I22" s="17"/>
      <c r="J22" s="15"/>
      <c r="K22" s="19"/>
      <c r="N22" s="1"/>
      <c r="O22" s="1"/>
      <c r="P22" s="1"/>
      <c r="Q22" s="1"/>
      <c r="R22" s="1"/>
      <c r="S22" s="1"/>
    </row>
    <row r="23" spans="2:22">
      <c r="B23" s="28">
        <v>65</v>
      </c>
      <c r="C23" s="29">
        <f t="shared" si="0"/>
        <v>3900</v>
      </c>
      <c r="D23" s="24" t="e">
        <f>D22+(D22-D29)*((B23-B22)/(B22-B29))</f>
        <v>#N/A</v>
      </c>
      <c r="E23" s="23" t="e">
        <f>$D$6*D23*$D$4</f>
        <v>#N/A</v>
      </c>
      <c r="F23" s="22" t="e">
        <f>IF(B23&lt;$B$10,1.34*E23*C23,E23*C23+0.34*E23*$C$10)</f>
        <v>#N/A</v>
      </c>
      <c r="G23" s="22">
        <f>$D$7*B23*60</f>
        <v>0</v>
      </c>
      <c r="H23" s="22" t="e">
        <f t="shared" si="1"/>
        <v>#N/A</v>
      </c>
      <c r="I23" s="17"/>
      <c r="J23" s="15"/>
      <c r="K23" s="19"/>
      <c r="N23" s="1"/>
      <c r="O23" s="1"/>
      <c r="P23" s="1"/>
      <c r="Q23" s="1"/>
      <c r="R23" s="1"/>
      <c r="S23" s="1"/>
    </row>
    <row r="24" spans="2:22">
      <c r="B24" s="25">
        <v>70</v>
      </c>
      <c r="C24" s="26">
        <f t="shared" si="0"/>
        <v>4200</v>
      </c>
      <c r="D24" s="24" t="e">
        <f>D23+(D23-D29)*((B24-B23)/(B23-B29))</f>
        <v>#N/A</v>
      </c>
      <c r="E24" s="23" t="e">
        <f>$D$6*D24*$D$4</f>
        <v>#N/A</v>
      </c>
      <c r="F24" s="22" t="e">
        <f>IF(B24&lt;$B$10,1.34*E24*C24,E24*C24+0.34*E24*$C$10)</f>
        <v>#N/A</v>
      </c>
      <c r="G24" s="22">
        <f>$D$7*B24*60</f>
        <v>0</v>
      </c>
      <c r="H24" s="22" t="e">
        <f t="shared" si="1"/>
        <v>#N/A</v>
      </c>
      <c r="I24" s="17"/>
      <c r="J24" s="15"/>
      <c r="K24" s="19"/>
      <c r="N24" s="1"/>
      <c r="O24" s="1"/>
      <c r="P24" s="1"/>
      <c r="Q24" s="1"/>
      <c r="R24" s="1"/>
      <c r="S24" s="1"/>
    </row>
    <row r="25" spans="2:22">
      <c r="B25" s="28">
        <v>80</v>
      </c>
      <c r="C25" s="29">
        <f t="shared" si="0"/>
        <v>4800</v>
      </c>
      <c r="D25" s="24" t="e">
        <f>D24+(D24-D29)*((B25-B24)/(B24-B29))</f>
        <v>#N/A</v>
      </c>
      <c r="E25" s="23" t="e">
        <f>$D$6*D25*$D$4</f>
        <v>#N/A</v>
      </c>
      <c r="F25" s="22" t="e">
        <f>IF(B25&lt;$B$10,1.34*E25*C25,E25*C25+0.34*E25*$C$10)</f>
        <v>#N/A</v>
      </c>
      <c r="G25" s="22">
        <f>$D$7*B25*60</f>
        <v>0</v>
      </c>
      <c r="H25" s="22" t="e">
        <f t="shared" si="1"/>
        <v>#N/A</v>
      </c>
      <c r="I25" s="17"/>
      <c r="J25" s="15"/>
      <c r="K25" s="19"/>
      <c r="N25" s="1"/>
      <c r="O25" s="1"/>
      <c r="P25" s="1"/>
      <c r="Q25" s="1"/>
      <c r="R25" s="1"/>
      <c r="S25" s="1"/>
    </row>
    <row r="26" spans="2:22">
      <c r="B26" s="28">
        <v>90</v>
      </c>
      <c r="C26" s="29">
        <f t="shared" si="0"/>
        <v>5400</v>
      </c>
      <c r="D26" s="24" t="e">
        <f>D25+(D25-D29)*((B26-B25)/(B25-B29))</f>
        <v>#N/A</v>
      </c>
      <c r="E26" s="23" t="e">
        <f>$D$6*D26*$D$4</f>
        <v>#N/A</v>
      </c>
      <c r="F26" s="22" t="e">
        <f>IF(B26&lt;$B$10,1.34*E26*C26,E26*C26+0.34*E26*$C$10)</f>
        <v>#N/A</v>
      </c>
      <c r="G26" s="22">
        <f>$D$7*B26*60</f>
        <v>0</v>
      </c>
      <c r="H26" s="22" t="e">
        <f t="shared" si="1"/>
        <v>#N/A</v>
      </c>
      <c r="I26" s="17"/>
      <c r="J26" s="15"/>
      <c r="K26" s="19"/>
      <c r="N26" s="1"/>
      <c r="O26" s="1"/>
      <c r="P26" s="1"/>
      <c r="Q26" s="1"/>
      <c r="R26" s="1"/>
      <c r="S26" s="1"/>
    </row>
    <row r="27" spans="2:22">
      <c r="B27" s="28">
        <v>100</v>
      </c>
      <c r="C27" s="29">
        <f t="shared" si="0"/>
        <v>6000</v>
      </c>
      <c r="D27" s="24" t="e">
        <f>D26+(D26-D29)*((B27-B26)/(B26-B29))</f>
        <v>#N/A</v>
      </c>
      <c r="E27" s="23" t="e">
        <f>$D$6*D27*$D$4</f>
        <v>#N/A</v>
      </c>
      <c r="F27" s="22" t="e">
        <f>IF(B27&lt;$B$10,1.34*E27*C27,E27*C27+0.34*E27*$C$10)</f>
        <v>#N/A</v>
      </c>
      <c r="G27" s="22">
        <f>$D$7*B27*60</f>
        <v>0</v>
      </c>
      <c r="H27" s="22" t="e">
        <f t="shared" si="1"/>
        <v>#N/A</v>
      </c>
      <c r="I27" s="17"/>
      <c r="J27" s="15"/>
      <c r="K27" s="173"/>
      <c r="L27" s="4"/>
      <c r="M27" s="6"/>
    </row>
    <row r="28" spans="2:22">
      <c r="B28" s="25">
        <v>110</v>
      </c>
      <c r="C28" s="26">
        <f t="shared" si="0"/>
        <v>6600</v>
      </c>
      <c r="D28" s="24" t="e">
        <f>D27+(D27-D29)*((B28-B27)/(B27-B29))</f>
        <v>#N/A</v>
      </c>
      <c r="E28" s="23" t="e">
        <f>$D$6*D28*$D$4</f>
        <v>#N/A</v>
      </c>
      <c r="F28" s="22" t="e">
        <f>IF(B28&lt;$B$10,1.34*E28*C28,E28*C28+0.34*E28*$C$10)</f>
        <v>#N/A</v>
      </c>
      <c r="G28" s="22">
        <f>$D$7*B28*60</f>
        <v>0</v>
      </c>
      <c r="H28" s="22" t="e">
        <f t="shared" si="1"/>
        <v>#N/A</v>
      </c>
      <c r="I28" s="17"/>
      <c r="J28" s="15"/>
      <c r="K28" s="173"/>
      <c r="L28" s="3"/>
      <c r="M28" s="6"/>
    </row>
    <row r="29" spans="2:22">
      <c r="B29" s="28">
        <v>120</v>
      </c>
      <c r="C29" s="29">
        <f t="shared" si="0"/>
        <v>7200</v>
      </c>
      <c r="D29" s="24" t="e">
        <f>HLOOKUP(D3,D58:I68,7)</f>
        <v>#N/A</v>
      </c>
      <c r="E29" s="23" t="e">
        <f>$D$6*D29*$D$4</f>
        <v>#N/A</v>
      </c>
      <c r="F29" s="22" t="e">
        <f>IF(B29&lt;$B$10,1.34*E29*C29,E29*C29+0.34*E29*$C$10)</f>
        <v>#N/A</v>
      </c>
      <c r="G29" s="22">
        <f>$D$7*B29*60</f>
        <v>0</v>
      </c>
      <c r="H29" s="22" t="e">
        <f t="shared" si="1"/>
        <v>#N/A</v>
      </c>
      <c r="I29" s="17"/>
      <c r="J29" s="15"/>
      <c r="K29" s="173"/>
      <c r="L29" s="3"/>
      <c r="M29" s="6"/>
    </row>
    <row r="30" spans="2:22">
      <c r="B30" s="33"/>
      <c r="C30" s="17"/>
      <c r="D30" s="155" t="s">
        <v>34</v>
      </c>
      <c r="E30" s="155"/>
      <c r="F30" s="155"/>
      <c r="G30" s="155"/>
      <c r="H30" s="34" t="e">
        <f>MAX(H10:H29)</f>
        <v>#N/A</v>
      </c>
      <c r="I30" s="17"/>
      <c r="J30" s="15"/>
      <c r="K30" s="174"/>
      <c r="L30" s="5"/>
      <c r="M30" s="6"/>
    </row>
    <row r="31" spans="2:22" ht="16.5" thickBot="1">
      <c r="B31" s="48" t="s">
        <v>32</v>
      </c>
      <c r="C31" s="35"/>
      <c r="D31" s="35"/>
      <c r="E31" s="16"/>
      <c r="F31" s="16"/>
      <c r="G31" s="15"/>
      <c r="H31" s="15"/>
      <c r="I31" s="15"/>
      <c r="J31" s="15"/>
      <c r="K31" s="32"/>
      <c r="L31" s="4"/>
      <c r="M31" s="5"/>
    </row>
    <row r="32" spans="2:22">
      <c r="B32" s="161" t="s">
        <v>3</v>
      </c>
      <c r="C32" s="162" t="s">
        <v>38</v>
      </c>
      <c r="D32" s="162"/>
      <c r="E32" s="162"/>
      <c r="F32" s="177" t="s">
        <v>39</v>
      </c>
      <c r="G32" s="163" t="s">
        <v>10</v>
      </c>
      <c r="H32" s="164" t="s">
        <v>4</v>
      </c>
      <c r="I32" s="15"/>
      <c r="J32" s="15"/>
      <c r="K32" s="173"/>
      <c r="L32" s="3"/>
      <c r="M32" s="5"/>
    </row>
    <row r="33" spans="2:11">
      <c r="B33" s="178">
        <v>1</v>
      </c>
      <c r="C33" s="159"/>
      <c r="D33" s="159"/>
      <c r="E33" s="159"/>
      <c r="F33" s="64"/>
      <c r="G33" s="65"/>
      <c r="H33" s="165">
        <f t="shared" ref="H33:H36" si="2">G33/43560</f>
        <v>0</v>
      </c>
      <c r="I33" s="15"/>
      <c r="J33" s="15"/>
      <c r="K33" s="19"/>
    </row>
    <row r="34" spans="2:11">
      <c r="B34" s="92"/>
      <c r="C34" s="159"/>
      <c r="D34" s="159"/>
      <c r="E34" s="159"/>
      <c r="F34" s="64"/>
      <c r="G34" s="66"/>
      <c r="H34" s="165">
        <f t="shared" si="2"/>
        <v>0</v>
      </c>
      <c r="I34" s="15"/>
      <c r="J34" s="15"/>
      <c r="K34" s="19"/>
    </row>
    <row r="35" spans="2:11">
      <c r="B35" s="92"/>
      <c r="C35" s="160"/>
      <c r="D35" s="160"/>
      <c r="E35" s="160"/>
      <c r="F35" s="64"/>
      <c r="G35" s="64"/>
      <c r="H35" s="165">
        <f t="shared" si="2"/>
        <v>0</v>
      </c>
      <c r="I35" s="15"/>
      <c r="J35" s="15"/>
      <c r="K35" s="19"/>
    </row>
    <row r="36" spans="2:11" ht="15.75" thickBot="1">
      <c r="B36" s="166"/>
      <c r="C36" s="167"/>
      <c r="D36" s="167"/>
      <c r="E36" s="167"/>
      <c r="F36" s="168"/>
      <c r="G36" s="168"/>
      <c r="H36" s="169">
        <f t="shared" si="2"/>
        <v>0</v>
      </c>
      <c r="I36" s="15"/>
      <c r="J36" s="15"/>
      <c r="K36" s="19"/>
    </row>
    <row r="37" spans="2:11">
      <c r="B37" s="118"/>
      <c r="C37" s="15"/>
      <c r="D37" s="179"/>
      <c r="E37" s="179"/>
      <c r="F37" s="180" t="s">
        <v>40</v>
      </c>
      <c r="G37" s="180"/>
      <c r="H37" s="46">
        <f>SUM(H33:H36)</f>
        <v>0</v>
      </c>
      <c r="I37" s="15"/>
      <c r="J37" s="15"/>
      <c r="K37" s="19"/>
    </row>
    <row r="38" spans="2:11">
      <c r="B38" s="118"/>
      <c r="C38" s="15"/>
      <c r="D38" s="156"/>
      <c r="E38" s="156"/>
      <c r="F38" s="138" t="s">
        <v>11</v>
      </c>
      <c r="G38" s="138"/>
      <c r="H38" s="91" t="e">
        <f>SUM((F33*G33)+(F34*G34)+(F35*G35)+(F36*G36))/SUM(G33:G36)</f>
        <v>#DIV/0!</v>
      </c>
      <c r="I38" s="15"/>
      <c r="J38" s="15"/>
      <c r="K38" s="19"/>
    </row>
    <row r="39" spans="2:11">
      <c r="B39" s="118"/>
      <c r="C39" s="15"/>
      <c r="D39" s="15"/>
      <c r="E39" s="14"/>
      <c r="F39" s="78"/>
      <c r="G39" s="15"/>
      <c r="H39" s="15"/>
      <c r="I39" s="15"/>
      <c r="J39" s="15"/>
      <c r="K39" s="19"/>
    </row>
    <row r="40" spans="2:11" ht="15.75">
      <c r="B40" s="49" t="s">
        <v>12</v>
      </c>
      <c r="C40" s="15"/>
      <c r="D40" s="15"/>
      <c r="E40" s="15"/>
      <c r="F40" s="15"/>
      <c r="G40" s="15"/>
      <c r="H40" s="15"/>
      <c r="I40" s="15"/>
      <c r="J40" s="15"/>
      <c r="K40" s="19"/>
    </row>
    <row r="41" spans="2:11">
      <c r="B41" s="50" t="s">
        <v>13</v>
      </c>
      <c r="C41" s="38"/>
      <c r="D41" s="39" t="s">
        <v>18</v>
      </c>
      <c r="E41" s="39" t="s">
        <v>19</v>
      </c>
      <c r="F41" s="39" t="s">
        <v>20</v>
      </c>
      <c r="G41" s="40" t="s">
        <v>21</v>
      </c>
      <c r="H41" s="15"/>
      <c r="I41" s="16"/>
      <c r="J41" s="16"/>
      <c r="K41" s="30"/>
    </row>
    <row r="42" spans="2:11">
      <c r="B42" s="51" t="s">
        <v>14</v>
      </c>
      <c r="C42" s="41"/>
      <c r="D42" s="66"/>
      <c r="E42" s="66"/>
      <c r="F42" s="66"/>
      <c r="G42" s="42" t="e">
        <f>D42/(F42*E42^0.5)</f>
        <v>#DIV/0!</v>
      </c>
      <c r="H42" s="135" t="s">
        <v>36</v>
      </c>
      <c r="I42" s="136"/>
      <c r="J42" s="136"/>
      <c r="K42" s="137"/>
    </row>
    <row r="43" spans="2:11">
      <c r="B43" s="51" t="s">
        <v>15</v>
      </c>
      <c r="C43" s="41"/>
      <c r="D43" s="66"/>
      <c r="E43" s="66"/>
      <c r="F43" s="66"/>
      <c r="G43" s="42" t="e">
        <f>D43/(F43*E43^0.5)</f>
        <v>#DIV/0!</v>
      </c>
      <c r="H43" s="135" t="s">
        <v>24</v>
      </c>
      <c r="I43" s="136"/>
      <c r="J43" s="136"/>
      <c r="K43" s="137"/>
    </row>
    <row r="44" spans="2:11">
      <c r="B44" s="52" t="s">
        <v>16</v>
      </c>
      <c r="C44" s="84"/>
      <c r="D44" s="66"/>
      <c r="E44" s="66"/>
      <c r="F44" s="66"/>
      <c r="G44" s="42" t="e">
        <f>D44/(F44*E44^0.5)</f>
        <v>#DIV/0!</v>
      </c>
      <c r="H44" s="135" t="s">
        <v>37</v>
      </c>
      <c r="I44" s="136"/>
      <c r="J44" s="136"/>
      <c r="K44" s="137"/>
    </row>
    <row r="45" spans="2:11" ht="15.75" thickBot="1">
      <c r="B45" s="127" t="s">
        <v>17</v>
      </c>
      <c r="C45" s="134"/>
      <c r="D45" s="134"/>
      <c r="E45" s="128"/>
      <c r="F45" s="67" t="s">
        <v>22</v>
      </c>
      <c r="G45" s="68" t="e">
        <f>SUM(G42:G44)</f>
        <v>#DIV/0!</v>
      </c>
      <c r="H45" s="43"/>
      <c r="I45" s="43"/>
      <c r="J45" s="43"/>
      <c r="K45" s="175"/>
    </row>
    <row r="46" spans="2:11" ht="15.75">
      <c r="B46" s="69" t="s">
        <v>27</v>
      </c>
      <c r="C46" s="70"/>
      <c r="D46" s="70"/>
      <c r="E46" s="70"/>
      <c r="F46" s="70"/>
      <c r="G46" s="70"/>
      <c r="H46" s="71"/>
      <c r="I46" s="12"/>
      <c r="J46" s="12"/>
      <c r="K46" s="12"/>
    </row>
    <row r="47" spans="2:11">
      <c r="B47" s="111" t="s">
        <v>55</v>
      </c>
      <c r="C47" s="53"/>
      <c r="D47" s="53"/>
      <c r="E47" s="53"/>
      <c r="F47" s="53"/>
      <c r="G47" s="53"/>
      <c r="H47" s="72"/>
      <c r="I47" s="73"/>
      <c r="J47" s="73"/>
      <c r="K47" s="73"/>
    </row>
    <row r="48" spans="2:11" ht="18.75" customHeight="1" thickBot="1">
      <c r="B48" s="129" t="s">
        <v>58</v>
      </c>
      <c r="C48" s="130"/>
      <c r="D48" s="130"/>
      <c r="E48" s="130"/>
      <c r="F48" s="130"/>
      <c r="G48" s="130"/>
      <c r="H48" s="130"/>
      <c r="I48" s="130"/>
      <c r="J48" s="130"/>
      <c r="K48" s="130"/>
    </row>
    <row r="49" spans="1:11">
      <c r="B49" s="123" t="s">
        <v>25</v>
      </c>
      <c r="C49" s="124"/>
      <c r="D49" s="110"/>
      <c r="E49" s="112" t="s">
        <v>5</v>
      </c>
      <c r="F49" s="16"/>
      <c r="G49" s="16"/>
      <c r="H49" s="17"/>
      <c r="I49" s="15"/>
      <c r="J49" s="15"/>
      <c r="K49" s="15"/>
    </row>
    <row r="50" spans="1:11">
      <c r="B50" s="125" t="s">
        <v>43</v>
      </c>
      <c r="C50" s="126"/>
      <c r="D50" s="93"/>
      <c r="E50" s="113"/>
      <c r="F50" s="16"/>
      <c r="G50" s="16"/>
      <c r="H50" s="17"/>
      <c r="I50" s="15"/>
      <c r="J50" s="15"/>
      <c r="K50" s="15"/>
    </row>
    <row r="51" spans="1:11">
      <c r="B51" s="125" t="s">
        <v>41</v>
      </c>
      <c r="C51" s="126"/>
      <c r="D51" s="102"/>
      <c r="E51" s="113" t="s">
        <v>42</v>
      </c>
      <c r="F51" s="37" t="s">
        <v>54</v>
      </c>
      <c r="G51" s="16"/>
      <c r="H51" s="17"/>
      <c r="I51" s="15"/>
      <c r="J51" s="15"/>
      <c r="K51" s="15"/>
    </row>
    <row r="52" spans="1:11" ht="15.75" thickBot="1">
      <c r="B52" s="127" t="s">
        <v>3</v>
      </c>
      <c r="C52" s="128"/>
      <c r="D52" s="98"/>
      <c r="E52" s="114" t="s">
        <v>4</v>
      </c>
      <c r="F52" s="16"/>
      <c r="G52" s="16"/>
      <c r="H52" s="17"/>
      <c r="I52" s="15"/>
      <c r="J52" s="15"/>
      <c r="K52" s="15"/>
    </row>
    <row r="53" spans="1:11">
      <c r="B53" s="115"/>
      <c r="C53" s="36" t="s">
        <v>62</v>
      </c>
      <c r="D53" s="116">
        <f>D50*D51*D52</f>
        <v>0</v>
      </c>
      <c r="E53" s="36" t="s">
        <v>26</v>
      </c>
      <c r="F53" s="15"/>
      <c r="G53" s="16"/>
      <c r="H53" s="17"/>
      <c r="I53" s="15"/>
      <c r="J53" s="15"/>
      <c r="K53" s="15"/>
    </row>
    <row r="54" spans="1:11" s="97" customFormat="1">
      <c r="A54" s="8"/>
      <c r="B54" s="117"/>
      <c r="C54" s="100"/>
      <c r="D54" s="100"/>
      <c r="E54" s="100"/>
      <c r="F54" s="94"/>
      <c r="G54" s="94"/>
      <c r="H54" s="95"/>
      <c r="I54" s="96"/>
      <c r="J54" s="96"/>
      <c r="K54" s="96"/>
    </row>
    <row r="55" spans="1:11" ht="15.75" thickBot="1">
      <c r="B55" s="115"/>
      <c r="C55" s="15"/>
      <c r="D55" s="15"/>
      <c r="E55" s="15"/>
      <c r="F55" s="16"/>
      <c r="G55" s="16"/>
      <c r="H55" s="17"/>
      <c r="I55" s="15"/>
      <c r="J55" s="15"/>
      <c r="K55" s="15"/>
    </row>
    <row r="56" spans="1:11">
      <c r="B56" s="118"/>
      <c r="C56" s="131" t="s">
        <v>57</v>
      </c>
      <c r="D56" s="132"/>
      <c r="E56" s="132"/>
      <c r="F56" s="132"/>
      <c r="G56" s="132"/>
      <c r="H56" s="132"/>
      <c r="I56" s="133"/>
      <c r="J56" s="15"/>
      <c r="K56" s="15"/>
    </row>
    <row r="57" spans="1:11">
      <c r="B57" s="118"/>
      <c r="C57" s="56"/>
      <c r="D57" s="57"/>
      <c r="E57" s="57"/>
      <c r="F57" s="58" t="s">
        <v>49</v>
      </c>
      <c r="G57" s="57"/>
      <c r="H57" s="57"/>
      <c r="I57" s="74"/>
      <c r="J57" s="15"/>
      <c r="K57" s="15"/>
    </row>
    <row r="58" spans="1:11">
      <c r="B58" s="118"/>
      <c r="C58" s="59" t="s">
        <v>48</v>
      </c>
      <c r="D58" s="60">
        <v>2</v>
      </c>
      <c r="E58" s="60">
        <v>5</v>
      </c>
      <c r="F58" s="60">
        <v>10</v>
      </c>
      <c r="G58" s="60">
        <v>25</v>
      </c>
      <c r="H58" s="60">
        <v>50</v>
      </c>
      <c r="I58" s="75">
        <v>100</v>
      </c>
      <c r="J58" s="15"/>
      <c r="K58" s="15"/>
    </row>
    <row r="59" spans="1:11">
      <c r="B59" s="118"/>
      <c r="C59" s="59">
        <v>5</v>
      </c>
      <c r="D59" s="47">
        <v>1.41700559071981</v>
      </c>
      <c r="E59" s="47">
        <v>2.0945769591350758</v>
      </c>
      <c r="F59" s="47">
        <v>2.5557834781491726</v>
      </c>
      <c r="G59" s="47">
        <v>3.252087424685727</v>
      </c>
      <c r="H59" s="47">
        <v>3.8832771672276922</v>
      </c>
      <c r="I59" s="76">
        <v>4.5704848024844713</v>
      </c>
      <c r="J59" s="15"/>
      <c r="K59" s="15"/>
    </row>
    <row r="60" spans="1:11">
      <c r="B60" s="118"/>
      <c r="C60" s="59">
        <v>10</v>
      </c>
      <c r="D60" s="47">
        <v>1.0994008893515765</v>
      </c>
      <c r="E60" s="47">
        <v>1.625102813122042</v>
      </c>
      <c r="F60" s="47">
        <v>1.9829354571847033</v>
      </c>
      <c r="G60" s="47">
        <v>2.5231712777734092</v>
      </c>
      <c r="H60" s="47">
        <v>3.0128874573318303</v>
      </c>
      <c r="I60" s="76">
        <v>3.5460657950310548</v>
      </c>
      <c r="J60" s="15"/>
      <c r="K60" s="15"/>
    </row>
    <row r="61" spans="1:11">
      <c r="B61" s="118"/>
      <c r="C61" s="59">
        <v>15</v>
      </c>
      <c r="D61" s="47">
        <v>0.92838297323022012</v>
      </c>
      <c r="E61" s="47">
        <v>1.3723090421919464</v>
      </c>
      <c r="F61" s="47">
        <v>1.674478830511527</v>
      </c>
      <c r="G61" s="47">
        <v>2.1306779678975447</v>
      </c>
      <c r="H61" s="47">
        <v>2.5442160750802123</v>
      </c>
      <c r="I61" s="76">
        <v>2.9944555602484462</v>
      </c>
      <c r="J61" s="15"/>
      <c r="K61" s="15"/>
    </row>
    <row r="62" spans="1:11">
      <c r="B62" s="118"/>
      <c r="C62" s="59">
        <v>30</v>
      </c>
      <c r="D62" s="47">
        <v>0.6433531130279595</v>
      </c>
      <c r="E62" s="47">
        <v>0.95098609064178741</v>
      </c>
      <c r="F62" s="47">
        <v>1.1603844527229004</v>
      </c>
      <c r="G62" s="47">
        <v>1.4765224514377728</v>
      </c>
      <c r="H62" s="47">
        <v>1.763097104660849</v>
      </c>
      <c r="I62" s="76">
        <v>2.0751051689440994</v>
      </c>
      <c r="J62" s="15"/>
      <c r="K62" s="15"/>
    </row>
    <row r="63" spans="1:11">
      <c r="B63" s="118"/>
      <c r="C63" s="59">
        <v>60</v>
      </c>
      <c r="D63" s="47">
        <v>0.40718551457465801</v>
      </c>
      <c r="E63" s="47">
        <v>0.60188993078594144</v>
      </c>
      <c r="F63" s="47">
        <v>0.73442053969803811</v>
      </c>
      <c r="G63" s="47">
        <v>0.934507880656818</v>
      </c>
      <c r="H63" s="47">
        <v>1.1158842434562335</v>
      </c>
      <c r="I63" s="76">
        <v>1.3133577018633538</v>
      </c>
      <c r="J63" s="15"/>
      <c r="K63" s="15"/>
    </row>
    <row r="64" spans="1:11">
      <c r="B64" s="118"/>
      <c r="C64" s="59">
        <v>120</v>
      </c>
      <c r="D64" s="47">
        <v>0.23543847040452115</v>
      </c>
      <c r="E64" s="47">
        <v>0.33662539071139469</v>
      </c>
      <c r="F64" s="47">
        <v>0.40612645238676431</v>
      </c>
      <c r="G64" s="47">
        <v>0.50890760853097827</v>
      </c>
      <c r="H64" s="47">
        <v>0.60043645706789961</v>
      </c>
      <c r="I64" s="76">
        <v>0.69661628105590057</v>
      </c>
      <c r="J64" s="15"/>
      <c r="K64" s="15"/>
    </row>
    <row r="65" spans="2:17">
      <c r="B65" s="118"/>
      <c r="C65" s="59">
        <v>180</v>
      </c>
      <c r="D65" s="47">
        <v>0.17538703292682928</v>
      </c>
      <c r="E65" s="47">
        <v>0.24506399992519112</v>
      </c>
      <c r="F65" s="47">
        <v>0.29327046588635147</v>
      </c>
      <c r="G65" s="47">
        <v>0.36337532835387221</v>
      </c>
      <c r="H65" s="47">
        <v>0.42488102676188744</v>
      </c>
      <c r="I65" s="76">
        <v>0.48752131360248446</v>
      </c>
      <c r="J65" s="15"/>
      <c r="K65" s="15"/>
    </row>
    <row r="66" spans="2:17">
      <c r="B66" s="118"/>
      <c r="C66" s="59">
        <v>360</v>
      </c>
      <c r="D66" s="47">
        <v>0.11032520325203253</v>
      </c>
      <c r="E66" s="47">
        <v>0.14788888888888888</v>
      </c>
      <c r="F66" s="47">
        <v>0.17429166666666668</v>
      </c>
      <c r="G66" s="47">
        <v>0.21128953771289535</v>
      </c>
      <c r="H66" s="47">
        <v>0.2426398210290828</v>
      </c>
      <c r="I66" s="76">
        <v>0.27214285714285713</v>
      </c>
      <c r="J66" s="15"/>
      <c r="K66" s="15"/>
    </row>
    <row r="67" spans="2:17">
      <c r="B67" s="118"/>
      <c r="C67" s="59">
        <v>720</v>
      </c>
      <c r="D67" s="47">
        <v>6.5914634146341466E-2</v>
      </c>
      <c r="E67" s="47">
        <v>8.7388888888888877E-2</v>
      </c>
      <c r="F67" s="47">
        <v>0.10232291666666667</v>
      </c>
      <c r="G67" s="47">
        <v>0.12240571776155716</v>
      </c>
      <c r="H67" s="47">
        <v>0.13857662192393735</v>
      </c>
      <c r="I67" s="76">
        <v>0.15428571428571428</v>
      </c>
      <c r="J67" s="15"/>
      <c r="K67" s="15"/>
    </row>
    <row r="68" spans="2:17" ht="15.75" thickBot="1">
      <c r="B68" s="118"/>
      <c r="C68" s="61">
        <v>1440</v>
      </c>
      <c r="D68" s="62">
        <v>3.8333333333333337E-2</v>
      </c>
      <c r="E68" s="62">
        <v>5.0416666666666672E-2</v>
      </c>
      <c r="F68" s="62">
        <v>5.8749999999999997E-2</v>
      </c>
      <c r="G68" s="62">
        <v>6.958333333333333E-2</v>
      </c>
      <c r="H68" s="62">
        <v>7.7916666666666662E-2</v>
      </c>
      <c r="I68" s="77">
        <v>8.6249999999999993E-2</v>
      </c>
      <c r="J68" s="15"/>
      <c r="K68" s="15"/>
    </row>
    <row r="69" spans="2:17" s="1" customFormat="1">
      <c r="B69" s="115"/>
      <c r="C69" s="16"/>
      <c r="D69" s="16"/>
      <c r="E69" s="16"/>
      <c r="F69" s="16"/>
      <c r="G69" s="16"/>
      <c r="H69" s="17"/>
      <c r="I69" s="15"/>
      <c r="J69" s="15"/>
      <c r="K69" s="15"/>
    </row>
    <row r="70" spans="2:17">
      <c r="B70" s="111" t="s">
        <v>44</v>
      </c>
      <c r="C70" s="53"/>
      <c r="D70" s="53"/>
      <c r="E70" s="53"/>
      <c r="F70" s="53"/>
      <c r="G70" s="53"/>
      <c r="H70" s="72"/>
      <c r="I70" s="73"/>
      <c r="J70" s="73"/>
      <c r="K70" s="73"/>
    </row>
    <row r="71" spans="2:17">
      <c r="B71" s="119" t="s">
        <v>45</v>
      </c>
      <c r="C71" s="16"/>
      <c r="D71" s="16"/>
      <c r="E71" s="16"/>
      <c r="F71" s="16"/>
      <c r="G71" s="16"/>
      <c r="H71" s="54"/>
      <c r="I71" s="55"/>
      <c r="J71" s="15"/>
      <c r="K71" s="15"/>
    </row>
    <row r="72" spans="2:17">
      <c r="B72" s="115"/>
      <c r="C72" s="36" t="s">
        <v>61</v>
      </c>
      <c r="D72" s="103"/>
      <c r="E72" s="36" t="s">
        <v>26</v>
      </c>
      <c r="F72" s="16"/>
      <c r="G72" s="16"/>
      <c r="H72" s="17"/>
      <c r="I72" s="15"/>
      <c r="J72" s="15"/>
      <c r="K72" s="15"/>
    </row>
    <row r="73" spans="2:17">
      <c r="B73" s="115"/>
      <c r="C73" s="16"/>
      <c r="D73" s="16"/>
      <c r="E73" s="16"/>
      <c r="F73" s="16"/>
      <c r="G73" s="16"/>
      <c r="H73" s="17"/>
      <c r="I73" s="15"/>
      <c r="J73" s="15"/>
      <c r="K73" s="15"/>
      <c r="N73" s="1"/>
      <c r="O73" s="1"/>
      <c r="P73" s="1"/>
      <c r="Q73" s="1"/>
    </row>
    <row r="74" spans="2:17">
      <c r="B74" s="111" t="s">
        <v>46</v>
      </c>
      <c r="C74" s="53"/>
      <c r="D74" s="53"/>
      <c r="E74" s="53"/>
      <c r="F74" s="53"/>
      <c r="G74" s="53"/>
      <c r="H74" s="72"/>
      <c r="I74" s="73"/>
      <c r="J74" s="73"/>
      <c r="K74" s="73"/>
      <c r="N74" s="1"/>
      <c r="O74" s="9"/>
      <c r="P74" s="9"/>
      <c r="Q74" s="1"/>
    </row>
    <row r="75" spans="2:17" ht="15.75" thickBot="1">
      <c r="B75" s="119" t="s">
        <v>50</v>
      </c>
      <c r="C75" s="16"/>
      <c r="D75" s="16"/>
      <c r="E75" s="16"/>
      <c r="F75" s="16"/>
      <c r="G75" s="16"/>
      <c r="H75" s="17"/>
      <c r="I75" s="15"/>
      <c r="J75" s="15"/>
      <c r="K75" s="15"/>
      <c r="N75" s="1"/>
      <c r="O75" s="9"/>
      <c r="P75" s="9"/>
      <c r="Q75" s="1"/>
    </row>
    <row r="76" spans="2:17">
      <c r="B76" s="99" t="s">
        <v>51</v>
      </c>
      <c r="C76" s="120"/>
      <c r="D76" s="109"/>
      <c r="E76" s="112" t="s">
        <v>26</v>
      </c>
      <c r="F76" s="121"/>
      <c r="G76" s="16"/>
      <c r="H76" s="17"/>
      <c r="I76" s="15"/>
      <c r="J76" s="15"/>
      <c r="K76" s="15"/>
      <c r="N76" s="1"/>
      <c r="O76" s="9"/>
      <c r="P76" s="9"/>
      <c r="Q76" s="1"/>
    </row>
    <row r="77" spans="2:17" ht="15.75" thickBot="1">
      <c r="B77" s="122" t="s">
        <v>52</v>
      </c>
      <c r="C77" s="83"/>
      <c r="D77" s="104"/>
      <c r="E77" s="114" t="s">
        <v>53</v>
      </c>
      <c r="F77" s="121"/>
      <c r="G77" s="121"/>
      <c r="H77" s="121"/>
      <c r="I77" s="121"/>
      <c r="J77" s="15"/>
      <c r="K77" s="15"/>
      <c r="N77" s="1"/>
      <c r="O77" s="9"/>
      <c r="P77" s="9"/>
      <c r="Q77" s="1"/>
    </row>
    <row r="78" spans="2:17" s="1" customFormat="1">
      <c r="B78" s="16"/>
      <c r="C78" s="36" t="s">
        <v>62</v>
      </c>
      <c r="D78" s="116">
        <f>D76*(D77/43560)</f>
        <v>0</v>
      </c>
      <c r="E78" s="36" t="s">
        <v>26</v>
      </c>
      <c r="F78" s="15"/>
      <c r="G78" s="100"/>
      <c r="H78" s="100"/>
      <c r="I78" s="36"/>
      <c r="J78" s="15"/>
      <c r="K78" s="15"/>
      <c r="O78" s="9"/>
      <c r="P78" s="9"/>
    </row>
    <row r="79" spans="2:17" s="1" customFormat="1">
      <c r="B79" s="119"/>
      <c r="C79" s="16"/>
      <c r="D79" s="16"/>
      <c r="E79" s="94"/>
      <c r="F79" s="94"/>
      <c r="G79" s="100"/>
      <c r="H79" s="100"/>
      <c r="I79" s="36"/>
      <c r="J79" s="15"/>
      <c r="K79" s="15"/>
      <c r="O79" s="9"/>
      <c r="P79" s="9"/>
    </row>
    <row r="80" spans="2:17" s="1" customFormat="1">
      <c r="B80" s="119"/>
      <c r="C80" s="16"/>
      <c r="D80" s="16"/>
      <c r="E80" s="94"/>
      <c r="F80" s="94"/>
      <c r="G80" s="100"/>
      <c r="H80" s="100"/>
      <c r="I80" s="36"/>
      <c r="J80" s="15"/>
      <c r="K80" s="15"/>
      <c r="O80" s="9"/>
      <c r="P80" s="9"/>
    </row>
    <row r="81" spans="1:17" s="1" customFormat="1">
      <c r="B81" s="119"/>
      <c r="C81" s="16"/>
      <c r="D81" s="16"/>
      <c r="E81" s="94"/>
      <c r="F81" s="94"/>
      <c r="G81" s="100"/>
      <c r="H81" s="100"/>
      <c r="I81" s="36"/>
      <c r="J81" s="15"/>
      <c r="K81" s="15"/>
      <c r="O81" s="9"/>
      <c r="P81" s="9"/>
    </row>
    <row r="82" spans="1:17" s="1" customFormat="1">
      <c r="B82" s="119"/>
      <c r="C82" s="16"/>
      <c r="D82" s="16"/>
      <c r="E82" s="94"/>
      <c r="F82" s="94"/>
      <c r="G82" s="100"/>
      <c r="H82" s="100"/>
      <c r="I82" s="36"/>
      <c r="J82" s="15"/>
      <c r="K82" s="15"/>
      <c r="O82" s="9"/>
      <c r="P82" s="9"/>
    </row>
    <row r="83" spans="1:17" s="1" customFormat="1">
      <c r="B83" s="119"/>
      <c r="C83" s="16"/>
      <c r="D83" s="16"/>
      <c r="E83" s="94"/>
      <c r="F83" s="94"/>
      <c r="G83" s="100"/>
      <c r="H83" s="100"/>
      <c r="I83" s="36"/>
      <c r="J83" s="15"/>
      <c r="K83" s="15"/>
      <c r="O83" s="9"/>
      <c r="P83" s="9"/>
    </row>
    <row r="84" spans="1:17" s="1" customFormat="1">
      <c r="B84" s="119"/>
      <c r="C84" s="16"/>
      <c r="D84" s="16"/>
      <c r="E84" s="94"/>
      <c r="F84" s="94"/>
      <c r="G84" s="100"/>
      <c r="H84" s="100"/>
      <c r="I84" s="36"/>
      <c r="J84" s="15"/>
      <c r="K84" s="15"/>
      <c r="O84" s="9"/>
      <c r="P84" s="9"/>
    </row>
    <row r="85" spans="1:17" s="1" customFormat="1">
      <c r="B85" s="119"/>
      <c r="C85" s="16"/>
      <c r="D85" s="16"/>
      <c r="E85" s="94"/>
      <c r="F85" s="94"/>
      <c r="G85" s="100"/>
      <c r="H85" s="100"/>
      <c r="I85" s="36"/>
      <c r="J85" s="15"/>
      <c r="K85" s="15"/>
      <c r="O85" s="9"/>
      <c r="P85" s="9"/>
    </row>
    <row r="86" spans="1:17" s="1" customFormat="1">
      <c r="B86" s="119"/>
      <c r="C86" s="16"/>
      <c r="D86" s="16"/>
      <c r="E86" s="94"/>
      <c r="F86" s="94"/>
      <c r="G86" s="100"/>
      <c r="H86" s="100"/>
      <c r="I86" s="36"/>
      <c r="J86" s="15"/>
      <c r="K86" s="15"/>
      <c r="O86" s="9"/>
      <c r="P86" s="9"/>
    </row>
    <row r="87" spans="1:17" s="1" customFormat="1">
      <c r="B87" s="119"/>
      <c r="C87" s="16"/>
      <c r="D87" s="16"/>
      <c r="E87" s="94"/>
      <c r="F87" s="94"/>
      <c r="G87" s="100"/>
      <c r="H87" s="100"/>
      <c r="I87" s="36"/>
      <c r="J87" s="15"/>
      <c r="K87" s="15"/>
      <c r="O87" s="9"/>
      <c r="P87" s="9"/>
    </row>
    <row r="88" spans="1:17" s="1" customFormat="1">
      <c r="B88" s="119"/>
      <c r="C88" s="16"/>
      <c r="D88" s="16"/>
      <c r="E88" s="94"/>
      <c r="F88" s="94"/>
      <c r="G88" s="100"/>
      <c r="H88" s="100"/>
      <c r="I88" s="36"/>
      <c r="J88" s="15"/>
      <c r="K88" s="15"/>
      <c r="O88" s="9"/>
      <c r="P88" s="9"/>
    </row>
    <row r="89" spans="1:17" s="1" customFormat="1">
      <c r="B89" s="119"/>
      <c r="C89" s="16"/>
      <c r="D89" s="16"/>
      <c r="E89" s="94"/>
      <c r="F89" s="94"/>
      <c r="G89" s="100"/>
      <c r="H89" s="100"/>
      <c r="I89" s="36"/>
      <c r="J89" s="15"/>
      <c r="K89" s="15"/>
      <c r="O89" s="9"/>
      <c r="P89" s="9"/>
    </row>
    <row r="90" spans="1:17" s="1" customFormat="1">
      <c r="B90" s="119"/>
      <c r="C90" s="16"/>
      <c r="D90" s="16"/>
      <c r="E90" s="94"/>
      <c r="F90" s="94"/>
      <c r="G90" s="100"/>
      <c r="H90" s="100"/>
      <c r="I90" s="36"/>
      <c r="J90" s="15"/>
      <c r="K90" s="15"/>
      <c r="O90" s="9"/>
      <c r="P90" s="9"/>
    </row>
    <row r="91" spans="1:17" s="97" customFormat="1" ht="15.75" thickBot="1">
      <c r="A91" s="8"/>
      <c r="B91" s="105"/>
      <c r="C91" s="106"/>
      <c r="D91" s="106"/>
      <c r="E91" s="106"/>
      <c r="F91" s="106"/>
      <c r="G91" s="107"/>
      <c r="H91" s="107"/>
      <c r="I91" s="107"/>
      <c r="J91" s="108"/>
      <c r="K91" s="108"/>
      <c r="N91" s="8"/>
      <c r="O91" s="101"/>
      <c r="P91" s="101"/>
      <c r="Q91" s="8"/>
    </row>
    <row r="92" spans="1:17" ht="15.75">
      <c r="B92" s="49" t="s">
        <v>47</v>
      </c>
      <c r="C92" s="15"/>
      <c r="D92" s="15"/>
      <c r="E92" s="15"/>
      <c r="F92" s="15"/>
      <c r="G92" s="15"/>
      <c r="H92" s="15"/>
      <c r="I92" s="181"/>
      <c r="J92" s="182"/>
      <c r="K92" s="15"/>
    </row>
    <row r="93" spans="1:17">
      <c r="B93" s="118"/>
      <c r="C93" s="15"/>
      <c r="D93" s="15"/>
      <c r="E93" s="15"/>
      <c r="F93" s="15"/>
      <c r="G93" s="15"/>
      <c r="H93" s="15"/>
      <c r="I93" s="94"/>
      <c r="J93" s="182"/>
      <c r="K93" s="15"/>
    </row>
    <row r="94" spans="1:17">
      <c r="B94" s="118"/>
      <c r="C94" s="15"/>
      <c r="D94" s="15"/>
      <c r="E94" s="15"/>
      <c r="F94" s="15"/>
      <c r="G94" s="15"/>
      <c r="H94" s="15"/>
      <c r="I94" s="183"/>
      <c r="J94" s="31"/>
      <c r="K94" s="15"/>
    </row>
    <row r="95" spans="1:17">
      <c r="B95" s="184"/>
      <c r="C95" s="185"/>
      <c r="D95" s="185"/>
      <c r="E95" s="96"/>
      <c r="F95" s="96"/>
      <c r="G95" s="96"/>
      <c r="H95" s="96"/>
      <c r="I95" s="96"/>
      <c r="J95" s="182"/>
      <c r="K95" s="96"/>
    </row>
    <row r="96" spans="1:17">
      <c r="B96" s="186"/>
      <c r="C96" s="187"/>
      <c r="D96" s="187"/>
      <c r="E96" s="96"/>
      <c r="F96" s="96"/>
      <c r="G96" s="96"/>
      <c r="H96" s="96"/>
      <c r="I96" s="96"/>
      <c r="J96" s="182"/>
      <c r="K96" s="96"/>
    </row>
    <row r="97" spans="2:11">
      <c r="B97" s="188"/>
      <c r="C97" s="96"/>
      <c r="D97" s="96"/>
      <c r="E97" s="96"/>
      <c r="F97" s="96"/>
      <c r="G97" s="96"/>
      <c r="H97" s="96"/>
      <c r="I97" s="96"/>
      <c r="J97" s="182"/>
      <c r="K97" s="96"/>
    </row>
    <row r="98" spans="2:11">
      <c r="B98" s="188"/>
      <c r="C98" s="96"/>
      <c r="D98" s="96"/>
      <c r="E98" s="96"/>
      <c r="F98" s="96"/>
      <c r="G98" s="96"/>
      <c r="H98" s="96"/>
      <c r="I98" s="189"/>
      <c r="J98" s="182"/>
      <c r="K98" s="96"/>
    </row>
    <row r="99" spans="2:11">
      <c r="B99" s="96"/>
      <c r="C99" s="96"/>
      <c r="D99" s="96"/>
      <c r="E99" s="186"/>
      <c r="F99" s="96"/>
      <c r="G99" s="96"/>
      <c r="H99" s="96"/>
      <c r="I99" s="186"/>
      <c r="J99" s="182"/>
      <c r="K99" s="96"/>
    </row>
    <row r="100" spans="2:11">
      <c r="B100" s="96"/>
      <c r="C100" s="96"/>
      <c r="D100" s="96"/>
      <c r="E100" s="186"/>
      <c r="F100" s="96"/>
      <c r="G100" s="96"/>
      <c r="H100" s="96"/>
      <c r="I100" s="96"/>
      <c r="J100" s="182"/>
      <c r="K100" s="96"/>
    </row>
    <row r="101" spans="2:11">
      <c r="B101" s="96"/>
      <c r="C101" s="96"/>
      <c r="D101" s="96"/>
      <c r="E101" s="96"/>
      <c r="F101" s="96"/>
      <c r="G101" s="96"/>
      <c r="H101" s="96"/>
      <c r="I101" s="96"/>
      <c r="J101" s="182"/>
      <c r="K101" s="96"/>
    </row>
    <row r="102" spans="2:11">
      <c r="B102" s="96"/>
      <c r="C102" s="96"/>
      <c r="D102" s="96"/>
      <c r="E102" s="96"/>
      <c r="F102" s="96"/>
      <c r="G102" s="96"/>
      <c r="H102" s="96"/>
      <c r="I102" s="96"/>
      <c r="J102" s="182"/>
      <c r="K102" s="96"/>
    </row>
    <row r="103" spans="2:11">
      <c r="B103" s="96"/>
      <c r="C103" s="96"/>
      <c r="D103" s="96"/>
      <c r="E103" s="96"/>
      <c r="F103" s="96"/>
      <c r="G103" s="96"/>
      <c r="H103" s="96"/>
      <c r="I103" s="96"/>
      <c r="J103" s="182"/>
      <c r="K103" s="96"/>
    </row>
    <row r="104" spans="2:11">
      <c r="B104" s="188"/>
      <c r="C104" s="96"/>
      <c r="D104" s="96"/>
      <c r="E104" s="96"/>
      <c r="F104" s="96"/>
      <c r="G104" s="96"/>
      <c r="H104" s="96"/>
      <c r="I104" s="96"/>
      <c r="J104" s="182"/>
      <c r="K104" s="96"/>
    </row>
    <row r="105" spans="2:11">
      <c r="B105" s="188"/>
      <c r="C105" s="190"/>
      <c r="D105" s="190"/>
      <c r="E105" s="96"/>
      <c r="F105" s="96"/>
      <c r="G105" s="96"/>
      <c r="H105" s="96"/>
      <c r="I105" s="96"/>
      <c r="J105" s="182"/>
      <c r="K105" s="96"/>
    </row>
    <row r="106" spans="2:11">
      <c r="B106" s="188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2:11">
      <c r="B107" s="188"/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2:11">
      <c r="B108" s="188"/>
      <c r="C108" s="96"/>
      <c r="D108" s="96"/>
      <c r="E108" s="96"/>
      <c r="F108" s="96"/>
      <c r="G108" s="96"/>
      <c r="H108" s="96"/>
      <c r="I108" s="96"/>
      <c r="J108" s="96"/>
      <c r="K108" s="96"/>
    </row>
    <row r="109" spans="2:11">
      <c r="B109" s="188"/>
      <c r="C109" s="190"/>
      <c r="D109" s="190"/>
      <c r="E109" s="96"/>
      <c r="F109" s="96"/>
      <c r="G109" s="96"/>
      <c r="H109" s="96"/>
      <c r="I109" s="96"/>
      <c r="J109" s="96"/>
      <c r="K109" s="96"/>
    </row>
    <row r="110" spans="2:11">
      <c r="B110" s="188"/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2:11">
      <c r="B111" s="188"/>
      <c r="C111" s="96"/>
      <c r="D111" s="96"/>
      <c r="E111" s="96"/>
      <c r="F111" s="96"/>
      <c r="G111" s="96"/>
      <c r="H111" s="96"/>
      <c r="I111" s="96"/>
      <c r="J111" s="96"/>
      <c r="K111" s="96"/>
    </row>
    <row r="112" spans="2:11">
      <c r="B112" s="188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2:11">
      <c r="B113" s="188"/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2:11">
      <c r="B114" s="188"/>
      <c r="C114" s="96"/>
      <c r="D114" s="96"/>
      <c r="E114" s="96"/>
      <c r="F114" s="96"/>
      <c r="G114" s="96"/>
      <c r="H114" s="96"/>
      <c r="I114" s="96"/>
      <c r="J114" s="96"/>
      <c r="K114" s="96"/>
    </row>
    <row r="115" spans="2:11">
      <c r="B115" s="188"/>
      <c r="C115" s="96"/>
      <c r="D115" s="96"/>
      <c r="E115" s="186"/>
      <c r="F115" s="96"/>
      <c r="G115" s="96"/>
      <c r="H115" s="96"/>
      <c r="I115" s="96"/>
      <c r="J115" s="96"/>
      <c r="K115" s="96"/>
    </row>
    <row r="116" spans="2:11">
      <c r="B116" s="188"/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2:11">
      <c r="B117" s="188"/>
      <c r="C117" s="96"/>
      <c r="D117" s="96"/>
      <c r="E117" s="96"/>
      <c r="F117" s="96"/>
      <c r="G117" s="96"/>
      <c r="H117" s="96"/>
      <c r="I117" s="96"/>
      <c r="J117" s="96"/>
      <c r="K117" s="96"/>
    </row>
    <row r="118" spans="2:11">
      <c r="B118" s="188"/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2:11">
      <c r="B119" s="188"/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2:11">
      <c r="B120" s="188"/>
      <c r="C120" s="96"/>
      <c r="D120" s="96"/>
      <c r="E120" s="96"/>
      <c r="F120" s="96"/>
      <c r="G120" s="96"/>
      <c r="H120" s="96"/>
      <c r="I120" s="96"/>
      <c r="J120" s="96"/>
      <c r="K120" s="96"/>
    </row>
    <row r="121" spans="2:11">
      <c r="B121" s="188"/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2:11">
      <c r="B122" s="188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2:11">
      <c r="B123" s="118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>
      <c r="B124" s="118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>
      <c r="B125" s="118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>
      <c r="B126" s="118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>
      <c r="B127" s="118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>
      <c r="B128" s="118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>
      <c r="B129" s="118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>
      <c r="B130" s="118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>
      <c r="B131" s="118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>
      <c r="B132" s="118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>
      <c r="B133" s="118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>
      <c r="B134" s="118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>
      <c r="B135" s="118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>
      <c r="B136" s="118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>
      <c r="B137" s="118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>
      <c r="B138" s="81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>
      <c r="B139" s="81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>
      <c r="B140" s="81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>
      <c r="B141" s="81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>
      <c r="B142" s="81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5.75" thickBot="1">
      <c r="B143" s="82"/>
      <c r="C143" s="80"/>
      <c r="D143" s="80"/>
      <c r="E143" s="80"/>
      <c r="F143" s="80"/>
      <c r="G143" s="80"/>
      <c r="H143" s="80"/>
      <c r="I143" s="80"/>
      <c r="J143" s="80"/>
      <c r="K143" s="80"/>
    </row>
    <row r="144" spans="2:1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>
      <c r="B145" s="1"/>
      <c r="C145" s="1"/>
      <c r="D145" s="1"/>
      <c r="E145" s="1"/>
      <c r="F145" s="1"/>
      <c r="G145" s="1"/>
      <c r="H145" s="1"/>
      <c r="I145" s="1"/>
      <c r="J145" s="1"/>
      <c r="K145" s="1"/>
    </row>
  </sheetData>
  <sheetProtection algorithmName="SHA-512" hashValue="fVk48uFGStU7//gHtrZeRStZmPVh3HwyuTWRz/goa3ieIXcksdJSmyeKmQEWeiVZsTYoZhB24801HDku3XKWiw==" saltValue="gjczAty7CtrZY6OgVx4vaw==" spinCount="100000" sheet="1" objects="1" scenarios="1" formatCells="0" insertColumns="0" insertRows="0"/>
  <customSheetViews>
    <customSheetView guid="{C0B7901E-A859-49D3-8DFA-3339956088E5}" scale="115" showPageBreaks="1" showGridLines="0" printArea="1" view="pageLayout" topLeftCell="A16">
      <selection activeCell="K26" sqref="K26"/>
      <colBreaks count="1" manualBreakCount="1">
        <brk id="11" max="33" man="1"/>
      </colBreaks>
      <pageMargins left="0.7" right="0.66666666666666663" top="0.75" bottom="0.75" header="0.3" footer="0.3"/>
      <pageSetup fitToWidth="2" orientation="portrait" r:id="rId1"/>
    </customSheetView>
  </customSheetViews>
  <mergeCells count="29">
    <mergeCell ref="F37:G37"/>
    <mergeCell ref="F38:G38"/>
    <mergeCell ref="C32:E32"/>
    <mergeCell ref="C33:E33"/>
    <mergeCell ref="C34:E34"/>
    <mergeCell ref="C35:E35"/>
    <mergeCell ref="C36:E36"/>
    <mergeCell ref="G3:H3"/>
    <mergeCell ref="G4:H4"/>
    <mergeCell ref="G5:H5"/>
    <mergeCell ref="G6:H6"/>
    <mergeCell ref="I1:K1"/>
    <mergeCell ref="I3:K3"/>
    <mergeCell ref="I6:K6"/>
    <mergeCell ref="I5:K5"/>
    <mergeCell ref="I4:K4"/>
    <mergeCell ref="C56:I56"/>
    <mergeCell ref="J9:K9"/>
    <mergeCell ref="B45:E45"/>
    <mergeCell ref="J10:K10"/>
    <mergeCell ref="H44:K44"/>
    <mergeCell ref="H42:K42"/>
    <mergeCell ref="H43:K43"/>
    <mergeCell ref="D30:G30"/>
    <mergeCell ref="B49:C49"/>
    <mergeCell ref="B50:C50"/>
    <mergeCell ref="B51:C51"/>
    <mergeCell ref="B52:C52"/>
    <mergeCell ref="B48:K48"/>
  </mergeCells>
  <pageMargins left="0.7" right="0.66666666666666663" top="0.75" bottom="0.75" header="0.3" footer="0.3"/>
  <pageSetup fitToWidth="2" orientation="portrait" r:id="rId2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5"/>
  <sheetData/>
  <customSheetViews>
    <customSheetView guid="{C0B7901E-A859-49D3-8DFA-3339956088E5}">
      <selection activeCell="E20" sqref="E2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Bowstring Worksheet</vt:lpstr>
      <vt:lpstr>Sheet1</vt:lpstr>
      <vt:lpstr>'Bowstring Worksheet'!Print_Area</vt:lpstr>
    </vt:vector>
  </TitlesOfParts>
  <Company>City of Pocatello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 Intern</dc:creator>
  <cp:lastModifiedBy>Hannah Sanger</cp:lastModifiedBy>
  <cp:lastPrinted>2015-06-23T15:02:31Z</cp:lastPrinted>
  <dcterms:created xsi:type="dcterms:W3CDTF">2014-09-27T22:06:08Z</dcterms:created>
  <dcterms:modified xsi:type="dcterms:W3CDTF">2015-06-23T21:07:57Z</dcterms:modified>
</cp:coreProperties>
</file>